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M:\Design Tools and Data\Modeling and Sampling\Clarifier State Point Model\"/>
    </mc:Choice>
  </mc:AlternateContent>
  <xr:revisionPtr revIDLastSave="0" documentId="13_ncr:1_{031C613D-9B18-4199-A33C-BF0D23004C3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put" sheetId="2" r:id="rId1"/>
    <sheet name="About" sheetId="3" r:id="rId2"/>
  </sheets>
  <definedNames>
    <definedName name="b_H_20">Input!$D$98</definedName>
    <definedName name="f_cv">Input!$D$94</definedName>
    <definedName name="f_H">Input!$D$96</definedName>
    <definedName name="f_iOHO">Input!$D$100</definedName>
    <definedName name="f_n">Input!$D$97</definedName>
    <definedName name="f_s_up">Input!$D$92</definedName>
    <definedName name="f_s_us">Input!$D$93</definedName>
    <definedName name="solver_adj" localSheetId="0" hidden="1">Input!$F$13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Input!$F$13</definedName>
    <definedName name="solver_lhs2" localSheetId="0" hidden="1">Input!$N$39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Input!$AK$74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0.001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1</definedName>
    <definedName name="solver_ver" localSheetId="0" hidden="1">3</definedName>
    <definedName name="theta_b_H">Input!$D$99</definedName>
    <definedName name="Y_Hv">Input!$D$95</definedName>
  </definedNames>
  <calcPr calcId="191029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4" i="2" l="1"/>
  <c r="F13" i="2"/>
  <c r="D13" i="2"/>
  <c r="X20" i="2"/>
  <c r="W20" i="2"/>
  <c r="V20" i="2"/>
  <c r="U20" i="2"/>
  <c r="O28" i="2"/>
  <c r="O29" i="2" s="1"/>
  <c r="O31" i="2" l="1" a="1"/>
  <c r="O31" i="2" s="1"/>
  <c r="O30" i="2" a="1"/>
  <c r="O30" i="2" s="1"/>
  <c r="O35" i="2" s="1"/>
  <c r="O33" i="2" a="1"/>
  <c r="O33" i="2" s="1"/>
  <c r="O32" i="2" a="1"/>
  <c r="O32" i="2" s="1"/>
  <c r="N28" i="2"/>
  <c r="N29" i="2" s="1"/>
  <c r="AB16" i="2"/>
  <c r="N31" i="2" l="1" a="1"/>
  <c r="N31" i="2" s="1"/>
  <c r="N32" i="2" a="1"/>
  <c r="N32" i="2" s="1"/>
  <c r="N33" i="2" a="1"/>
  <c r="N33" i="2" s="1"/>
  <c r="N30" i="2" a="1"/>
  <c r="N30" i="2" s="1"/>
  <c r="F16" i="2"/>
  <c r="D16" i="2"/>
  <c r="D81" i="2"/>
  <c r="D82" i="2" s="1"/>
  <c r="F73" i="2"/>
  <c r="F85" i="2" s="1"/>
  <c r="K12" i="2"/>
  <c r="F74" i="2"/>
  <c r="F75" i="2"/>
  <c r="F88" i="2" s="1"/>
  <c r="F4" i="2"/>
  <c r="F62" i="2"/>
  <c r="D62" i="2"/>
  <c r="K13" i="2"/>
  <c r="F10" i="2"/>
  <c r="F19" i="2" s="1"/>
  <c r="F3" i="2"/>
  <c r="K3" i="2" s="1"/>
  <c r="M50" i="2"/>
  <c r="AB29" i="2"/>
  <c r="AB30" i="2"/>
  <c r="AB41" i="2"/>
  <c r="AB42" i="2"/>
  <c r="M51" i="2"/>
  <c r="D10" i="2"/>
  <c r="D19" i="2" s="1"/>
  <c r="D85" i="2"/>
  <c r="D88" i="2"/>
  <c r="M52" i="2"/>
  <c r="J4" i="2" s="1"/>
  <c r="AB72" i="2"/>
  <c r="AB73" i="2"/>
  <c r="AB70" i="2"/>
  <c r="AB71" i="2"/>
  <c r="AB69" i="2"/>
  <c r="AB35" i="2"/>
  <c r="AB36" i="2"/>
  <c r="AB37" i="2"/>
  <c r="AB38" i="2"/>
  <c r="AB39" i="2"/>
  <c r="AB40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7" i="2"/>
  <c r="AB8" i="2"/>
  <c r="AJ8" i="2" s="1"/>
  <c r="AB9" i="2"/>
  <c r="AJ9" i="2" s="1"/>
  <c r="AB10" i="2"/>
  <c r="AJ10" i="2" s="1"/>
  <c r="AB11" i="2"/>
  <c r="AB12" i="2"/>
  <c r="AJ12" i="2" s="1"/>
  <c r="AB13" i="2"/>
  <c r="AB14" i="2"/>
  <c r="AB15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31" i="2"/>
  <c r="AB32" i="2"/>
  <c r="AB33" i="2"/>
  <c r="AB34" i="2"/>
  <c r="AB6" i="2"/>
  <c r="AK6" i="2" s="1"/>
  <c r="O42" i="2"/>
  <c r="J12" i="2"/>
  <c r="AB5" i="2"/>
  <c r="AK5" i="2" s="1"/>
  <c r="J3" i="2"/>
  <c r="K14" i="2"/>
  <c r="J14" i="2"/>
  <c r="N42" i="2"/>
  <c r="J13" i="2"/>
  <c r="AJ13" i="2" l="1"/>
  <c r="O44" i="2"/>
  <c r="AJ6" i="2"/>
  <c r="N35" i="2"/>
  <c r="AC6" i="2"/>
  <c r="AC14" i="2"/>
  <c r="AC22" i="2"/>
  <c r="AC30" i="2"/>
  <c r="AC38" i="2"/>
  <c r="AC46" i="2"/>
  <c r="AC54" i="2"/>
  <c r="AC62" i="2"/>
  <c r="AC70" i="2"/>
  <c r="AC8" i="2"/>
  <c r="AC32" i="2"/>
  <c r="AC48" i="2"/>
  <c r="AC72" i="2"/>
  <c r="AC43" i="2"/>
  <c r="AC51" i="2"/>
  <c r="AC60" i="2"/>
  <c r="AC7" i="2"/>
  <c r="AC15" i="2"/>
  <c r="AC23" i="2"/>
  <c r="AC31" i="2"/>
  <c r="AC39" i="2"/>
  <c r="AC47" i="2"/>
  <c r="AC55" i="2"/>
  <c r="AC63" i="2"/>
  <c r="AC71" i="2"/>
  <c r="AC16" i="2"/>
  <c r="AC40" i="2"/>
  <c r="AC56" i="2"/>
  <c r="AC64" i="2"/>
  <c r="AC27" i="2"/>
  <c r="AC67" i="2"/>
  <c r="AC24" i="2"/>
  <c r="AC59" i="2"/>
  <c r="AC9" i="2"/>
  <c r="AC17" i="2"/>
  <c r="AC25" i="2"/>
  <c r="AC33" i="2"/>
  <c r="AC41" i="2"/>
  <c r="AC49" i="2"/>
  <c r="AC57" i="2"/>
  <c r="AC65" i="2"/>
  <c r="AC73" i="2"/>
  <c r="AC19" i="2"/>
  <c r="AC10" i="2"/>
  <c r="AC18" i="2"/>
  <c r="AC26" i="2"/>
  <c r="AC34" i="2"/>
  <c r="AC42" i="2"/>
  <c r="AC50" i="2"/>
  <c r="AC58" i="2"/>
  <c r="AC66" i="2"/>
  <c r="AC5" i="2"/>
  <c r="AC11" i="2"/>
  <c r="AC35" i="2"/>
  <c r="AC68" i="2"/>
  <c r="AC12" i="2"/>
  <c r="AC20" i="2"/>
  <c r="AC28" i="2"/>
  <c r="AC36" i="2"/>
  <c r="AC44" i="2"/>
  <c r="AC52" i="2"/>
  <c r="AC13" i="2"/>
  <c r="AC21" i="2"/>
  <c r="AC29" i="2"/>
  <c r="AC37" i="2"/>
  <c r="AC45" i="2"/>
  <c r="AC53" i="2"/>
  <c r="AC61" i="2"/>
  <c r="AC69" i="2"/>
  <c r="AJ5" i="2"/>
  <c r="J10" i="2"/>
  <c r="AE48" i="2" s="1"/>
  <c r="AD49" i="2"/>
  <c r="AD73" i="2"/>
  <c r="AD60" i="2"/>
  <c r="AD40" i="2"/>
  <c r="AD26" i="2"/>
  <c r="AD51" i="2"/>
  <c r="AD68" i="2"/>
  <c r="AD21" i="2"/>
  <c r="AD39" i="2"/>
  <c r="AD48" i="2"/>
  <c r="AD30" i="2"/>
  <c r="AD25" i="2"/>
  <c r="AD18" i="2"/>
  <c r="AD10" i="2"/>
  <c r="AD17" i="2"/>
  <c r="AD34" i="2"/>
  <c r="AD12" i="2"/>
  <c r="AD5" i="2"/>
  <c r="AD37" i="2"/>
  <c r="AD55" i="2"/>
  <c r="AD56" i="2"/>
  <c r="AD62" i="2"/>
  <c r="AD33" i="2"/>
  <c r="AD35" i="2"/>
  <c r="AD23" i="2"/>
  <c r="AD6" i="2"/>
  <c r="AD11" i="2"/>
  <c r="AD42" i="2"/>
  <c r="AD20" i="2"/>
  <c r="AD29" i="2"/>
  <c r="AD53" i="2"/>
  <c r="AD63" i="2"/>
  <c r="AD64" i="2"/>
  <c r="AD7" i="2"/>
  <c r="AD41" i="2"/>
  <c r="AD27" i="2"/>
  <c r="AD72" i="2"/>
  <c r="AD43" i="2"/>
  <c r="AD58" i="2"/>
  <c r="AD14" i="2"/>
  <c r="AD38" i="2"/>
  <c r="AD16" i="2"/>
  <c r="AD13" i="2"/>
  <c r="AD47" i="2"/>
  <c r="AD57" i="2"/>
  <c r="AD28" i="2"/>
  <c r="AD22" i="2"/>
  <c r="AD31" i="2"/>
  <c r="AD36" i="2"/>
  <c r="AD59" i="2"/>
  <c r="AD66" i="2"/>
  <c r="AD44" i="2"/>
  <c r="AD46" i="2"/>
  <c r="AD54" i="2"/>
  <c r="AD24" i="2"/>
  <c r="AD45" i="2"/>
  <c r="AD71" i="2"/>
  <c r="AD65" i="2"/>
  <c r="AD50" i="2"/>
  <c r="AD69" i="2"/>
  <c r="AD8" i="2"/>
  <c r="AD67" i="2"/>
  <c r="AD19" i="2"/>
  <c r="AD52" i="2"/>
  <c r="AD15" i="2"/>
  <c r="AD70" i="2"/>
  <c r="AD32" i="2"/>
  <c r="AD61" i="2"/>
  <c r="AD9" i="2"/>
  <c r="N44" i="2"/>
  <c r="AJ11" i="2"/>
  <c r="K4" i="2"/>
  <c r="K10" i="2"/>
  <c r="AF31" i="2" s="1"/>
  <c r="D84" i="2"/>
  <c r="D83" i="2"/>
  <c r="AJ7" i="2"/>
  <c r="F81" i="2"/>
  <c r="F82" i="2" s="1"/>
  <c r="AE66" i="2" l="1"/>
  <c r="AE26" i="2"/>
  <c r="AE33" i="2"/>
  <c r="AE64" i="2"/>
  <c r="AE13" i="2"/>
  <c r="AE18" i="2"/>
  <c r="AE20" i="2"/>
  <c r="AE27" i="2"/>
  <c r="AE29" i="2"/>
  <c r="AE68" i="2"/>
  <c r="AE65" i="2"/>
  <c r="AE36" i="2"/>
  <c r="AE17" i="2"/>
  <c r="AE19" i="2"/>
  <c r="AE52" i="2"/>
  <c r="AE30" i="2"/>
  <c r="AE46" i="2"/>
  <c r="AE10" i="2"/>
  <c r="AE59" i="2"/>
  <c r="AE47" i="2"/>
  <c r="AE22" i="2"/>
  <c r="AE21" i="2"/>
  <c r="AE73" i="2"/>
  <c r="N45" i="2"/>
  <c r="AE12" i="2"/>
  <c r="AE54" i="2"/>
  <c r="AE35" i="2"/>
  <c r="AE60" i="2"/>
  <c r="AF14" i="2"/>
  <c r="AE41" i="2"/>
  <c r="AE63" i="2"/>
  <c r="AE9" i="2"/>
  <c r="AE49" i="2"/>
  <c r="AE51" i="2"/>
  <c r="AE7" i="2"/>
  <c r="AE5" i="2"/>
  <c r="J19" i="2"/>
  <c r="D20" i="2" s="1"/>
  <c r="J21" i="2"/>
  <c r="D22" i="2" s="1"/>
  <c r="N43" i="2" s="1"/>
  <c r="AE23" i="2"/>
  <c r="AE38" i="2"/>
  <c r="AF46" i="2"/>
  <c r="AE57" i="2"/>
  <c r="AE50" i="2"/>
  <c r="AE58" i="2"/>
  <c r="AE72" i="2"/>
  <c r="AE16" i="2"/>
  <c r="AE62" i="2"/>
  <c r="AE34" i="2"/>
  <c r="AE25" i="2"/>
  <c r="AF41" i="2"/>
  <c r="AE56" i="2"/>
  <c r="AE11" i="2"/>
  <c r="AE40" i="2"/>
  <c r="AE70" i="2"/>
  <c r="AE69" i="2"/>
  <c r="AE71" i="2"/>
  <c r="AE24" i="2"/>
  <c r="AE31" i="2"/>
  <c r="AE43" i="2"/>
  <c r="AE53" i="2"/>
  <c r="AE32" i="2"/>
  <c r="AE61" i="2"/>
  <c r="AE67" i="2"/>
  <c r="AE37" i="2"/>
  <c r="AE44" i="2"/>
  <c r="AE39" i="2"/>
  <c r="AE42" i="2"/>
  <c r="AE8" i="2"/>
  <c r="AE28" i="2"/>
  <c r="AE6" i="2"/>
  <c r="AE15" i="2"/>
  <c r="AE14" i="2"/>
  <c r="O45" i="2"/>
  <c r="AF16" i="2"/>
  <c r="AF18" i="2"/>
  <c r="O46" i="2"/>
  <c r="AF8" i="2"/>
  <c r="AE55" i="2"/>
  <c r="AE45" i="2"/>
  <c r="J18" i="2"/>
  <c r="K21" i="2"/>
  <c r="F22" i="2" s="1"/>
  <c r="O43" i="2" s="1"/>
  <c r="AF29" i="2"/>
  <c r="AF35" i="2"/>
  <c r="AF48" i="2"/>
  <c r="AF37" i="2"/>
  <c r="AF72" i="2"/>
  <c r="AF42" i="2"/>
  <c r="AF28" i="2"/>
  <c r="AF56" i="2"/>
  <c r="AF60" i="2"/>
  <c r="AF25" i="2"/>
  <c r="AF66" i="2"/>
  <c r="AF32" i="2"/>
  <c r="K19" i="2"/>
  <c r="F20" i="2" s="1"/>
  <c r="AF15" i="2"/>
  <c r="N46" i="2"/>
  <c r="AF33" i="2"/>
  <c r="AF30" i="2"/>
  <c r="AF54" i="2"/>
  <c r="AF24" i="2"/>
  <c r="AF12" i="2"/>
  <c r="AF55" i="2"/>
  <c r="AF5" i="2"/>
  <c r="AF43" i="2"/>
  <c r="AF20" i="2"/>
  <c r="AF17" i="2"/>
  <c r="AF27" i="2"/>
  <c r="AF68" i="2"/>
  <c r="AF53" i="2"/>
  <c r="AF13" i="2"/>
  <c r="AF63" i="2"/>
  <c r="AF34" i="2"/>
  <c r="AF47" i="2"/>
  <c r="AF19" i="2"/>
  <c r="AF49" i="2"/>
  <c r="AF6" i="2"/>
  <c r="AF7" i="2"/>
  <c r="AF52" i="2"/>
  <c r="AF67" i="2"/>
  <c r="AF45" i="2"/>
  <c r="AF40" i="2"/>
  <c r="AF69" i="2"/>
  <c r="AF70" i="2"/>
  <c r="AF51" i="2"/>
  <c r="AF21" i="2"/>
  <c r="AF23" i="2"/>
  <c r="AF44" i="2"/>
  <c r="AF9" i="2"/>
  <c r="AF64" i="2"/>
  <c r="AF65" i="2"/>
  <c r="AF10" i="2"/>
  <c r="AF11" i="2"/>
  <c r="AF36" i="2"/>
  <c r="AF73" i="2"/>
  <c r="AF58" i="2"/>
  <c r="AF71" i="2"/>
  <c r="AF22" i="2"/>
  <c r="AF57" i="2"/>
  <c r="AF39" i="2"/>
  <c r="AF50" i="2"/>
  <c r="AF38" i="2"/>
  <c r="AF59" i="2"/>
  <c r="AF61" i="2"/>
  <c r="AF26" i="2"/>
  <c r="AF62" i="2"/>
  <c r="K18" i="2"/>
  <c r="D87" i="2"/>
  <c r="D89" i="2" s="1"/>
  <c r="D90" i="2" s="1"/>
  <c r="D77" i="2" s="1"/>
  <c r="F84" i="2"/>
  <c r="F83" i="2"/>
  <c r="F87" i="2" s="1"/>
  <c r="N47" i="2" l="1"/>
  <c r="D52" i="2" s="1"/>
  <c r="O47" i="2"/>
  <c r="F52" i="2" s="1"/>
  <c r="AG5" i="2"/>
  <c r="J20" i="2"/>
  <c r="K20" i="2"/>
  <c r="AH5" i="2"/>
  <c r="F89" i="2"/>
  <c r="F90" i="2" s="1"/>
  <c r="F77" i="2" s="1"/>
  <c r="G77" i="2" s="1"/>
  <c r="D21" i="2" l="1"/>
  <c r="AG47" i="2"/>
  <c r="AJ47" i="2" s="1"/>
  <c r="AG57" i="2"/>
  <c r="AJ57" i="2" s="1"/>
  <c r="AG48" i="2"/>
  <c r="AJ48" i="2" s="1"/>
  <c r="AG8" i="2"/>
  <c r="AG15" i="2"/>
  <c r="AJ15" i="2" s="1"/>
  <c r="AG33" i="2"/>
  <c r="AJ33" i="2" s="1"/>
  <c r="AG37" i="2"/>
  <c r="AJ37" i="2" s="1"/>
  <c r="AG19" i="2"/>
  <c r="AJ19" i="2" s="1"/>
  <c r="AG32" i="2"/>
  <c r="AJ32" i="2" s="1"/>
  <c r="AG14" i="2"/>
  <c r="AJ14" i="2" s="1"/>
  <c r="AG9" i="2"/>
  <c r="AG34" i="2"/>
  <c r="AJ34" i="2" s="1"/>
  <c r="AG7" i="2"/>
  <c r="AG72" i="2"/>
  <c r="AJ72" i="2" s="1"/>
  <c r="AG28" i="2"/>
  <c r="AJ28" i="2" s="1"/>
  <c r="AG36" i="2"/>
  <c r="AJ36" i="2" s="1"/>
  <c r="AG11" i="2"/>
  <c r="AG45" i="2"/>
  <c r="AJ45" i="2" s="1"/>
  <c r="AG29" i="2"/>
  <c r="AJ29" i="2" s="1"/>
  <c r="AG21" i="2"/>
  <c r="AJ21" i="2" s="1"/>
  <c r="AG6" i="2"/>
  <c r="AG58" i="2"/>
  <c r="AJ58" i="2" s="1"/>
  <c r="AG56" i="2"/>
  <c r="AJ56" i="2" s="1"/>
  <c r="AG65" i="2"/>
  <c r="AJ65" i="2" s="1"/>
  <c r="AG38" i="2"/>
  <c r="AJ38" i="2" s="1"/>
  <c r="AG40" i="2"/>
  <c r="AJ40" i="2" s="1"/>
  <c r="AG27" i="2"/>
  <c r="AJ27" i="2" s="1"/>
  <c r="AG22" i="2"/>
  <c r="AJ22" i="2" s="1"/>
  <c r="AG35" i="2"/>
  <c r="AJ35" i="2" s="1"/>
  <c r="AG43" i="2"/>
  <c r="AJ43" i="2" s="1"/>
  <c r="AG10" i="2"/>
  <c r="AG63" i="2"/>
  <c r="AJ63" i="2" s="1"/>
  <c r="AG55" i="2"/>
  <c r="AJ55" i="2" s="1"/>
  <c r="AG39" i="2"/>
  <c r="AJ39" i="2" s="1"/>
  <c r="AG46" i="2"/>
  <c r="AJ46" i="2" s="1"/>
  <c r="AG60" i="2"/>
  <c r="AJ60" i="2" s="1"/>
  <c r="AG71" i="2"/>
  <c r="AJ71" i="2" s="1"/>
  <c r="AG52" i="2"/>
  <c r="AJ52" i="2" s="1"/>
  <c r="AG53" i="2"/>
  <c r="AJ53" i="2" s="1"/>
  <c r="AG16" i="2"/>
  <c r="AJ16" i="2" s="1"/>
  <c r="AG12" i="2"/>
  <c r="AG25" i="2"/>
  <c r="AJ25" i="2" s="1"/>
  <c r="AG68" i="2"/>
  <c r="AJ68" i="2" s="1"/>
  <c r="AG42" i="2"/>
  <c r="AJ42" i="2" s="1"/>
  <c r="AG51" i="2"/>
  <c r="AJ51" i="2" s="1"/>
  <c r="AG41" i="2"/>
  <c r="AJ41" i="2" s="1"/>
  <c r="AG73" i="2"/>
  <c r="AJ73" i="2" s="1"/>
  <c r="AG17" i="2"/>
  <c r="AJ17" i="2" s="1"/>
  <c r="AG62" i="2"/>
  <c r="AJ62" i="2" s="1"/>
  <c r="AG44" i="2"/>
  <c r="AJ44" i="2" s="1"/>
  <c r="AG23" i="2"/>
  <c r="AJ23" i="2" s="1"/>
  <c r="AG49" i="2"/>
  <c r="AJ49" i="2" s="1"/>
  <c r="AG70" i="2"/>
  <c r="AJ70" i="2" s="1"/>
  <c r="AG26" i="2"/>
  <c r="AJ26" i="2" s="1"/>
  <c r="AG18" i="2"/>
  <c r="AJ18" i="2" s="1"/>
  <c r="AG20" i="2"/>
  <c r="AJ20" i="2" s="1"/>
  <c r="AG30" i="2"/>
  <c r="AJ30" i="2" s="1"/>
  <c r="AG67" i="2"/>
  <c r="AJ67" i="2" s="1"/>
  <c r="AG64" i="2"/>
  <c r="AJ64" i="2" s="1"/>
  <c r="AG50" i="2"/>
  <c r="AJ50" i="2" s="1"/>
  <c r="AG24" i="2"/>
  <c r="AJ24" i="2" s="1"/>
  <c r="AG66" i="2"/>
  <c r="AJ66" i="2" s="1"/>
  <c r="AG61" i="2"/>
  <c r="AJ61" i="2" s="1"/>
  <c r="AG54" i="2"/>
  <c r="AJ54" i="2" s="1"/>
  <c r="AG31" i="2"/>
  <c r="AJ31" i="2" s="1"/>
  <c r="AG69" i="2"/>
  <c r="AJ69" i="2" s="1"/>
  <c r="AG13" i="2"/>
  <c r="AG59" i="2"/>
  <c r="AJ59" i="2" s="1"/>
  <c r="AH21" i="2"/>
  <c r="AK21" i="2" s="1"/>
  <c r="AH48" i="2"/>
  <c r="AK48" i="2" s="1"/>
  <c r="AH65" i="2"/>
  <c r="AK65" i="2" s="1"/>
  <c r="AH64" i="2"/>
  <c r="AK64" i="2" s="1"/>
  <c r="AH55" i="2"/>
  <c r="AK55" i="2" s="1"/>
  <c r="AH23" i="2"/>
  <c r="AK23" i="2" s="1"/>
  <c r="AH66" i="2"/>
  <c r="AK66" i="2" s="1"/>
  <c r="AH61" i="2"/>
  <c r="AK61" i="2" s="1"/>
  <c r="AH31" i="2"/>
  <c r="AK31" i="2" s="1"/>
  <c r="AH71" i="2"/>
  <c r="AK71" i="2" s="1"/>
  <c r="AH32" i="2"/>
  <c r="AK32" i="2" s="1"/>
  <c r="AH20" i="2"/>
  <c r="AK20" i="2" s="1"/>
  <c r="AH36" i="2"/>
  <c r="AK36" i="2" s="1"/>
  <c r="AH6" i="2"/>
  <c r="AH10" i="2"/>
  <c r="AK10" i="2" s="1"/>
  <c r="AH58" i="2"/>
  <c r="AK58" i="2" s="1"/>
  <c r="AH69" i="2"/>
  <c r="AK69" i="2" s="1"/>
  <c r="AH25" i="2"/>
  <c r="AK25" i="2" s="1"/>
  <c r="AH26" i="2"/>
  <c r="AK26" i="2" s="1"/>
  <c r="AH9" i="2"/>
  <c r="AK9" i="2" s="1"/>
  <c r="AH22" i="2"/>
  <c r="AK22" i="2" s="1"/>
  <c r="AH60" i="2"/>
  <c r="AK60" i="2" s="1"/>
  <c r="F21" i="2"/>
  <c r="AH57" i="2"/>
  <c r="AK57" i="2" s="1"/>
  <c r="AH17" i="2"/>
  <c r="AK17" i="2" s="1"/>
  <c r="AH68" i="2"/>
  <c r="AK68" i="2" s="1"/>
  <c r="AH47" i="2"/>
  <c r="AK47" i="2" s="1"/>
  <c r="AH33" i="2"/>
  <c r="AK33" i="2" s="1"/>
  <c r="AH46" i="2"/>
  <c r="AK46" i="2" s="1"/>
  <c r="AH41" i="2"/>
  <c r="AK41" i="2" s="1"/>
  <c r="AH28" i="2"/>
  <c r="AK28" i="2" s="1"/>
  <c r="AH8" i="2"/>
  <c r="AK8" i="2" s="1"/>
  <c r="AH24" i="2"/>
  <c r="AK24" i="2" s="1"/>
  <c r="AH63" i="2"/>
  <c r="AK63" i="2" s="1"/>
  <c r="AH52" i="2"/>
  <c r="AK52" i="2" s="1"/>
  <c r="AH7" i="2"/>
  <c r="AK7" i="2" s="1"/>
  <c r="AH18" i="2"/>
  <c r="AK18" i="2" s="1"/>
  <c r="AH72" i="2"/>
  <c r="AK72" i="2" s="1"/>
  <c r="AH40" i="2"/>
  <c r="AK40" i="2" s="1"/>
  <c r="AH39" i="2"/>
  <c r="AK39" i="2" s="1"/>
  <c r="AH42" i="2"/>
  <c r="AK42" i="2" s="1"/>
  <c r="AH45" i="2"/>
  <c r="AK45" i="2" s="1"/>
  <c r="AH16" i="2"/>
  <c r="AK16" i="2" s="1"/>
  <c r="AH53" i="2"/>
  <c r="AK53" i="2" s="1"/>
  <c r="AH34" i="2"/>
  <c r="AK34" i="2" s="1"/>
  <c r="AH70" i="2"/>
  <c r="AK70" i="2" s="1"/>
  <c r="AH54" i="2"/>
  <c r="AK54" i="2" s="1"/>
  <c r="AH13" i="2"/>
  <c r="AK13" i="2" s="1"/>
  <c r="AH37" i="2"/>
  <c r="AK37" i="2" s="1"/>
  <c r="AH73" i="2"/>
  <c r="AK73" i="2" s="1"/>
  <c r="AH50" i="2"/>
  <c r="AK50" i="2" s="1"/>
  <c r="AH49" i="2"/>
  <c r="AK49" i="2" s="1"/>
  <c r="AH11" i="2"/>
  <c r="AK11" i="2" s="1"/>
  <c r="AH15" i="2"/>
  <c r="AK15" i="2" s="1"/>
  <c r="AH62" i="2"/>
  <c r="AK62" i="2" s="1"/>
  <c r="AH35" i="2"/>
  <c r="AK35" i="2" s="1"/>
  <c r="AH51" i="2"/>
  <c r="AK51" i="2" s="1"/>
  <c r="AH19" i="2"/>
  <c r="AK19" i="2" s="1"/>
  <c r="AH12" i="2"/>
  <c r="AK12" i="2" s="1"/>
  <c r="AH27" i="2"/>
  <c r="AK27" i="2" s="1"/>
  <c r="AH14" i="2"/>
  <c r="AK14" i="2" s="1"/>
  <c r="AH29" i="2"/>
  <c r="AK29" i="2" s="1"/>
  <c r="AH59" i="2"/>
  <c r="AK59" i="2" s="1"/>
  <c r="AH67" i="2"/>
  <c r="AK67" i="2" s="1"/>
  <c r="AH30" i="2"/>
  <c r="AK30" i="2" s="1"/>
  <c r="AH43" i="2"/>
  <c r="AK43" i="2" s="1"/>
  <c r="AH56" i="2"/>
  <c r="AK56" i="2" s="1"/>
  <c r="AH38" i="2"/>
  <c r="AK38" i="2" s="1"/>
  <c r="AH44" i="2"/>
  <c r="AK44" i="2" s="1"/>
  <c r="AG74" i="2" l="1"/>
  <c r="AJ74" i="2"/>
  <c r="AH74" i="2"/>
  <c r="AK74" i="2"/>
  <c r="D47" i="2" l="1"/>
  <c r="D58" i="2"/>
  <c r="D23" i="2" s="1"/>
  <c r="D78" i="2" s="1"/>
  <c r="F47" i="2"/>
  <c r="F58" i="2"/>
  <c r="F23" i="2" s="1"/>
  <c r="F78" i="2" s="1"/>
  <c r="F79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<sst xmlns="http://schemas.openxmlformats.org/spreadsheetml/2006/main" count="267" uniqueCount="202">
  <si>
    <t>Physical Data</t>
  </si>
  <si>
    <t>Data for Graphing State Point Analysis</t>
  </si>
  <si>
    <t xml:space="preserve">Click on </t>
  </si>
  <si>
    <t xml:space="preserve">     above for calculations</t>
  </si>
  <si>
    <t>Parameter</t>
  </si>
  <si>
    <t>Units</t>
  </si>
  <si>
    <t>Value</t>
  </si>
  <si>
    <t>Model Units</t>
  </si>
  <si>
    <t>Model Value #1</t>
  </si>
  <si>
    <t>Model Value #2</t>
  </si>
  <si>
    <t>Settling velocity parameters used to determine gravity flux curve</t>
  </si>
  <si>
    <t>Clarifier Diameter</t>
  </si>
  <si>
    <t>ft</t>
  </si>
  <si>
    <t>m2</t>
  </si>
  <si>
    <t>Based upon Daigger Equation (1995)</t>
  </si>
  <si>
    <t>Solids Concentration</t>
  </si>
  <si>
    <t>Gravity Flux #1</t>
  </si>
  <si>
    <t>Gravity Flux #2</t>
  </si>
  <si>
    <t>Overflow Rate #1</t>
  </si>
  <si>
    <t>Overflow Rate #2</t>
  </si>
  <si>
    <t>Underflow Rate #1</t>
  </si>
  <si>
    <t>Underflow Rate #2</t>
  </si>
  <si>
    <t>Thickening Overloaded?</t>
  </si>
  <si>
    <t>Aerated Volume per Clarifier Cluster</t>
  </si>
  <si>
    <t>MG</t>
  </si>
  <si>
    <t>m3</t>
  </si>
  <si>
    <t>ln V_s = ln V_0 - (k_1 + k_2*SVI)*MLSS</t>
  </si>
  <si>
    <t>kg/m3</t>
  </si>
  <si>
    <t>mg/L</t>
  </si>
  <si>
    <t>lbs/sf-d</t>
  </si>
  <si>
    <t>#1</t>
  </si>
  <si>
    <t>#2</t>
  </si>
  <si>
    <t>V_s = V_0*exp[-(K_1 + k_2*SVI)*MLSS]</t>
  </si>
  <si>
    <t>Data Entry</t>
  </si>
  <si>
    <t>ln V_0</t>
  </si>
  <si>
    <t>m/h</t>
  </si>
  <si>
    <t>Value after Adjustment</t>
  </si>
  <si>
    <t>k1</t>
  </si>
  <si>
    <t>L/g</t>
  </si>
  <si>
    <t>Number of Clarifiers Online in Cluster</t>
  </si>
  <si>
    <t>[-]</t>
  </si>
  <si>
    <t>k2</t>
  </si>
  <si>
    <t>L/mL</t>
  </si>
  <si>
    <t>Influent Flow to Cluster</t>
  </si>
  <si>
    <t>MGD</t>
  </si>
  <si>
    <t>Flow per Clarifier</t>
  </si>
  <si>
    <t>m3/h</t>
  </si>
  <si>
    <t>Conversion Factors</t>
  </si>
  <si>
    <t>MLSS Concentration</t>
  </si>
  <si>
    <t>(Measured)</t>
  </si>
  <si>
    <t>(Anticipated)</t>
  </si>
  <si>
    <t>See Section 5 to estimate MLSS after an SRT or wasting rate change</t>
  </si>
  <si>
    <t xml:space="preserve">lbs/sf-d </t>
  </si>
  <si>
    <t>in  1  kg/m2-h</t>
  </si>
  <si>
    <t>RAS Flow per Clarifier</t>
  </si>
  <si>
    <t>gpd/sf</t>
  </si>
  <si>
    <t>in 1 m/h</t>
  </si>
  <si>
    <t>SVI</t>
  </si>
  <si>
    <t>mL/g</t>
  </si>
  <si>
    <t>in 1 m3</t>
  </si>
  <si>
    <t>Data Output</t>
  </si>
  <si>
    <t>Overloading Search</t>
  </si>
  <si>
    <t>Typical</t>
  </si>
  <si>
    <t>MLSS</t>
  </si>
  <si>
    <t>Return Rate</t>
  </si>
  <si>
    <t>[ - ]</t>
  </si>
  <si>
    <t>0.3 - 1.2</t>
  </si>
  <si>
    <t>For conventional activated sludge plants</t>
  </si>
  <si>
    <t>Loading</t>
  </si>
  <si>
    <t>Hydraulic Loading Rate (Overflow Rate)</t>
  </si>
  <si>
    <t>Row Lookup</t>
  </si>
  <si>
    <t>Hydraulic Underflow Rate</t>
  </si>
  <si>
    <t>Flux Below MLSS</t>
  </si>
  <si>
    <t>Clarifier Solids Loading Rate</t>
  </si>
  <si>
    <t>kg/m2-h</t>
  </si>
  <si>
    <t>Flux Above MLSS</t>
  </si>
  <si>
    <t>RAS TSS Concentration</t>
  </si>
  <si>
    <t>Hydraulically Overloaded? (1=yes)</t>
  </si>
  <si>
    <t>State Point Analysis Graph</t>
  </si>
  <si>
    <t>Interpretation and Adjustments</t>
  </si>
  <si>
    <t>Before Adjustments</t>
  </si>
  <si>
    <t>After Adjustments</t>
  </si>
  <si>
    <t>a</t>
  </si>
  <si>
    <t>Potential Thickening Failure?</t>
  </si>
  <si>
    <r>
      <t xml:space="preserve">If </t>
    </r>
    <r>
      <rPr>
        <b/>
        <u/>
        <sz val="11"/>
        <rFont val="Calibri"/>
        <family val="2"/>
        <scheme val="minor"/>
      </rPr>
      <t>Yes</t>
    </r>
    <r>
      <rPr>
        <u/>
        <sz val="11"/>
        <rFont val="Calibri"/>
        <family val="2"/>
        <scheme val="minor"/>
      </rPr>
      <t>,</t>
    </r>
    <r>
      <rPr>
        <sz val="11"/>
        <color theme="1"/>
        <rFont val="Calibri"/>
        <family val="2"/>
        <scheme val="minor"/>
      </rPr>
      <t xml:space="preserve"> adjustments may include:</t>
    </r>
  </si>
  <si>
    <r>
      <rPr>
        <sz val="11"/>
        <color theme="1"/>
        <rFont val="Calibri"/>
        <family val="2"/>
        <scheme val="minor"/>
      </rPr>
      <t>•</t>
    </r>
    <r>
      <rPr>
        <sz val="9.8000000000000007"/>
        <color theme="1"/>
        <rFont val="Calibri"/>
        <family val="2"/>
        <scheme val="minor"/>
      </rPr>
      <t xml:space="preserve"> Increase RAS flow 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</si>
  <si>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Consider changes in 4b that may help if RAS flow adjustment is not reasonable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</si>
  <si>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Consider changes in 4d if poorly settling solids are the primary cause</t>
    </r>
  </si>
  <si>
    <t>b</t>
  </si>
  <si>
    <t>Overloaded?</t>
  </si>
  <si>
    <r>
      <t xml:space="preserve">If </t>
    </r>
    <r>
      <rPr>
        <b/>
        <u/>
        <sz val="11"/>
        <rFont val="Calibri"/>
        <family val="2"/>
        <scheme val="minor"/>
      </rPr>
      <t>Yes</t>
    </r>
    <r>
      <rPr>
        <b/>
        <sz val="11"/>
        <rFont val="Calibri"/>
        <family val="2"/>
        <scheme val="minor"/>
      </rPr>
      <t>,</t>
    </r>
    <r>
      <rPr>
        <sz val="11"/>
        <color theme="1"/>
        <rFont val="Calibri"/>
        <family val="2"/>
        <scheme val="minor"/>
      </rPr>
      <t xml:space="preserve"> adjustments may include: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</si>
  <si>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Decrease MLSS by increasing WAS flow (decrease SRT). 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</si>
  <si>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If available, convert process to step-feed and contact stabilization mode.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</si>
  <si>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Bring offline clarifiers online</t>
    </r>
  </si>
  <si>
    <t>c</t>
  </si>
  <si>
    <t>Underloaded without Thickening Failure?</t>
  </si>
  <si>
    <r>
      <t xml:space="preserve">If </t>
    </r>
    <r>
      <rPr>
        <b/>
        <u/>
        <sz val="11"/>
        <rFont val="Calibri"/>
        <family val="2"/>
        <scheme val="minor"/>
      </rPr>
      <t>Yes</t>
    </r>
    <r>
      <rPr>
        <u/>
        <sz val="11"/>
        <rFont val="Calibri"/>
        <family val="2"/>
        <scheme val="minor"/>
      </rPr>
      <t>,</t>
    </r>
    <r>
      <rPr>
        <sz val="11"/>
        <color theme="1"/>
        <rFont val="Calibri"/>
        <family val="2"/>
        <scheme val="minor"/>
      </rPr>
      <t xml:space="preserve"> consider the following optimization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</si>
  <si>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Decrease RAS flow</t>
    </r>
  </si>
  <si>
    <r>
      <t xml:space="preserve">If </t>
    </r>
    <r>
      <rPr>
        <b/>
        <u/>
        <sz val="11"/>
        <rFont val="Calibri"/>
        <family val="2"/>
        <scheme val="minor"/>
      </rPr>
      <t>No</t>
    </r>
    <r>
      <rPr>
        <u/>
        <sz val="11"/>
        <rFont val="Calibri"/>
        <family val="2"/>
        <scheme val="minor"/>
      </rPr>
      <t>,</t>
    </r>
    <r>
      <rPr>
        <sz val="11"/>
        <color theme="1"/>
        <rFont val="Calibri"/>
        <family val="2"/>
        <scheme val="minor"/>
      </rPr>
      <t xml:space="preserve"> consider adjustments shown in 4a &amp; 4b</t>
    </r>
  </si>
  <si>
    <t>d</t>
  </si>
  <si>
    <t>Poor settleability Based on SVI?</t>
  </si>
  <si>
    <t xml:space="preserve">SVI of poorly settling solids = </t>
  </si>
  <si>
    <t>(this value will be very site dependent and must be determined by operators)</t>
  </si>
  <si>
    <r>
      <t>•</t>
    </r>
    <r>
      <rPr>
        <sz val="9.8000000000000007"/>
        <color theme="1"/>
        <rFont val="Calibri"/>
        <family val="2"/>
        <scheme val="minor"/>
      </rPr>
      <t xml:space="preserve"> Chlorinating RAS (2-8 lbs/d per 1000 lbs MLSS)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</si>
  <si>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If filamentous solids are the problem, consider increasing wasting rate to waste-out the nuissance organisms. Do not increase wasting more than 10% per day or such that SRT decreases below minimum required for nitrification.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</si>
  <si>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If DO levels are &lt; 0.5 mg/L throughout the basin, consider increasing DO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</si>
  <si>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Coordinate with Pretreatment program if source of poorly settling solids could be an industrial discharge</t>
    </r>
  </si>
  <si>
    <r>
      <t>•</t>
    </r>
    <r>
      <rPr>
        <sz val="9.8000000000000007"/>
        <color theme="1"/>
        <rFont val="Calibri"/>
        <family val="2"/>
        <scheme val="minor"/>
      </rPr>
      <t xml:space="preserve"> If systemic, consider major process changes to incorporate selector zones, ballast (magnetite) or surface wasting</t>
    </r>
  </si>
  <si>
    <t>Estimate of MLSS after SRT or WAS adjustment</t>
  </si>
  <si>
    <t>Current Measurements</t>
  </si>
  <si>
    <t>Target SRT</t>
  </si>
  <si>
    <t>7-day Average Influent Flow</t>
  </si>
  <si>
    <t>7-day Average Influent BOD Concentration</t>
  </si>
  <si>
    <t>Temperature</t>
  </si>
  <si>
    <r>
      <rPr>
        <sz val="11"/>
        <color theme="1"/>
        <rFont val="Calibri"/>
        <family val="2"/>
        <scheme val="minor"/>
      </rPr>
      <t>°</t>
    </r>
    <r>
      <rPr>
        <sz val="9.8000000000000007"/>
        <color theme="1"/>
        <rFont val="Calibri"/>
        <family val="2"/>
        <scheme val="minor"/>
      </rPr>
      <t>C</t>
    </r>
  </si>
  <si>
    <t>Estimated MLSS</t>
  </si>
  <si>
    <t>Estimated Daily Wasting Rate</t>
  </si>
  <si>
    <t>gpd</t>
  </si>
  <si>
    <t>Percent Change in Wasting Rate</t>
  </si>
  <si>
    <t>%</t>
  </si>
  <si>
    <t>N/A</t>
  </si>
  <si>
    <t>(Wasting rate should not change more than 10% per day)</t>
  </si>
  <si>
    <t>BOD</t>
  </si>
  <si>
    <t>lbs/d</t>
  </si>
  <si>
    <t>COD</t>
  </si>
  <si>
    <t>bCOD</t>
  </si>
  <si>
    <t>Unbiodegradable Particulate</t>
  </si>
  <si>
    <t>Inorganic Suspended Solids</t>
  </si>
  <si>
    <t>VSS Production</t>
  </si>
  <si>
    <t>lbs</t>
  </si>
  <si>
    <t>L_bCOD*((Y_Hv*SRT)/(1+b_H_T*SRT))*(1+f_H*b_H_T*SRT)+L_ubpCOD*SRT</t>
  </si>
  <si>
    <t>Fraction of active OHO in MLSS</t>
  </si>
  <si>
    <t>1/(1+f_H*b_H_T*SRT+(f_s_up/(f_cv*Y_Hv*(1-f_s_up-f_s_us)))*(1+b_H_T*SRT))</t>
  </si>
  <si>
    <t>Inert Solids Load</t>
  </si>
  <si>
    <t>L_ISS*SRT+f_iOHO*f_OHO*VSS Prod</t>
  </si>
  <si>
    <t>TSS Production</t>
  </si>
  <si>
    <t>f_s_up</t>
  </si>
  <si>
    <t>Fraction of unbiodegradable particulate COD</t>
  </si>
  <si>
    <t>g-CODnbp / g-CODt</t>
  </si>
  <si>
    <t>f_s_us</t>
  </si>
  <si>
    <t>Fraction of unbiodegradable soluble COD</t>
  </si>
  <si>
    <t>g-CODnbs / g-CODt</t>
  </si>
  <si>
    <t>f_cv</t>
  </si>
  <si>
    <t>COD in VSS</t>
  </si>
  <si>
    <t>g-CODx / g-VSS</t>
  </si>
  <si>
    <t>Y_Hv</t>
  </si>
  <si>
    <t>Yield for OHO</t>
  </si>
  <si>
    <t>g-VSS / g-CODs</t>
  </si>
  <si>
    <t>f_H</t>
  </si>
  <si>
    <t>Endogenous residue fraction</t>
  </si>
  <si>
    <t>f_n</t>
  </si>
  <si>
    <t>Fraction of undegradable N in VSS</t>
  </si>
  <si>
    <t>b_H_20</t>
  </si>
  <si>
    <t>Endogenous respiration rate</t>
  </si>
  <si>
    <t>1/d</t>
  </si>
  <si>
    <t xml:space="preserve">theta_b_H </t>
  </si>
  <si>
    <t>Temperature adjustment for ER</t>
  </si>
  <si>
    <t>f_iOHO</t>
  </si>
  <si>
    <t>Fraction of ISS in OHO</t>
  </si>
  <si>
    <t>Revision</t>
  </si>
  <si>
    <t>Date</t>
  </si>
  <si>
    <t>About</t>
  </si>
  <si>
    <t>Developed to provide operators a simple method for assessing different secondary clarifier operational changes</t>
  </si>
  <si>
    <t xml:space="preserve">If used as an operational tool, this spreadsheet will help get operators in the ballpark of good operation. </t>
  </si>
  <si>
    <t xml:space="preserve">The spreadsheet is not authoritative and does not replace operator experience and know-how. </t>
  </si>
  <si>
    <t>For Questions and Suggestions, Contact:</t>
  </si>
  <si>
    <t>Nick Landes, Ph.D., P.E.</t>
  </si>
  <si>
    <t>Freese and Nichols, Inc.</t>
  </si>
  <si>
    <t>email</t>
  </si>
  <si>
    <t>nick.landes@freese.com</t>
  </si>
  <si>
    <t>mobile</t>
  </si>
  <si>
    <t>817-937-9185</t>
  </si>
  <si>
    <t>office</t>
  </si>
  <si>
    <t>817-735-7571</t>
  </si>
  <si>
    <r>
      <t xml:space="preserve">ln </t>
    </r>
    <r>
      <rPr>
        <sz val="11"/>
        <color theme="1"/>
        <rFont val="Calibri"/>
        <family val="2"/>
      </rPr>
      <t>α</t>
    </r>
  </si>
  <si>
    <t>STP No. 6 Nomenclature</t>
  </si>
  <si>
    <t>γ</t>
  </si>
  <si>
    <t>δ</t>
  </si>
  <si>
    <r>
      <t xml:space="preserve">ln V_s = ln V_0 - </t>
    </r>
    <r>
      <rPr>
        <sz val="11"/>
        <color theme="1"/>
        <rFont val="Calibri"/>
        <family val="2"/>
      </rPr>
      <t>β*SVI - ϒ*MLSS - δ*SVI*MLSS</t>
    </r>
  </si>
  <si>
    <t>V_s = V_0*exp[-β*SVI - ϒ*MLSS - δ*SVI*MLSS]</t>
  </si>
  <si>
    <t>β</t>
  </si>
  <si>
    <t>g/mL</t>
  </si>
  <si>
    <t>Settleability Curve Used</t>
  </si>
  <si>
    <t>Applied Settleability Curve</t>
  </si>
  <si>
    <t>Curve Applied</t>
  </si>
  <si>
    <t>Based upon Ozinsky and Ekama Equation (1995)</t>
  </si>
  <si>
    <t>Summary of Available Relationships</t>
  </si>
  <si>
    <t>Daigger (SSVI_3.5)</t>
  </si>
  <si>
    <t>Daigger (DSVI)</t>
  </si>
  <si>
    <t>Daigger (SVI)</t>
  </si>
  <si>
    <r>
      <t xml:space="preserve">ln </t>
    </r>
    <r>
      <rPr>
        <sz val="11"/>
        <color theme="1"/>
        <rFont val="Calibri"/>
        <family val="2"/>
      </rPr>
      <t>α</t>
    </r>
    <r>
      <rPr>
        <sz val="11"/>
        <color theme="1"/>
        <rFont val="Calibri"/>
        <family val="2"/>
        <scheme val="minor"/>
      </rPr>
      <t xml:space="preserve"> (m/h)</t>
    </r>
  </si>
  <si>
    <t>γ (L/g)</t>
  </si>
  <si>
    <t>δ (L/mL)</t>
  </si>
  <si>
    <t>β (g/mL)</t>
  </si>
  <si>
    <t>Ozinsky and Ekama (UCT SSVI_3.5)</t>
  </si>
  <si>
    <t>Ozinsky and Ekama (Pitman SSVI_3.5)</t>
  </si>
  <si>
    <t>Ozinsky and Ekama (UCT DSVI)</t>
  </si>
  <si>
    <t>Ozinsky and Ekama (Pitman SVI)</t>
  </si>
  <si>
    <t>Wahlberg (Stirred_1L)</t>
  </si>
  <si>
    <t>Wahlberg (Unstirred_1L)</t>
  </si>
  <si>
    <t>Wahlberg (Stirred_2L)</t>
  </si>
  <si>
    <t>Wahlberg (Unstirred_2L)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</si>
</sst>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.00000"/>
    <numFmt numFmtId="166" formatCode="0.0000"/>
    <numFmt numFmtId="167" formatCode="0.000000"/>
    <numFmt numFmtId="168" formatCode="&quot;&lt; &quot;#,##0"/>
    <numFmt numFmtId="169" formatCode="0\ &quot;mL/g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sz val="9.8000000000000007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6">
    <xf numFmtId="0" fontId="0" fillId="0" borderId="0"/>
    <xf numFmtId="0" fontId="4" fillId="2" borderId="1" applyNumberFormat="0" applyAlignment="0" applyProtection="0"/>
    <xf numFmtId="0" fontId="5" fillId="3" borderId="2" applyNumberFormat="0" applyAlignment="0" applyProtection="0"/>
    <xf numFmtId="0" fontId="6" fillId="4" borderId="0" applyNumberFormat="0" applyBorder="0" applyAlignment="0" applyProtection="0"/>
    <xf numFmtId="0" fontId="8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/>
    <xf numFmtId="0" fontId="3" fillId="0" borderId="0" xfId="0" applyFont="1"/>
    <xf numFmtId="14" fontId="0" fillId="0" borderId="0" xfId="0" applyNumberFormat="1"/>
    <xf numFmtId="0" fontId="8" fillId="0" borderId="0" xfId="4"/>
    <xf numFmtId="0" fontId="10" fillId="6" borderId="0" xfId="0" applyFont="1" applyFill="1" applyAlignment="1">
      <alignment horizontal="right" indent="1"/>
    </xf>
    <xf numFmtId="0" fontId="11" fillId="6" borderId="0" xfId="0" applyFont="1" applyFill="1"/>
    <xf numFmtId="0" fontId="12" fillId="0" borderId="0" xfId="0" applyFont="1"/>
    <xf numFmtId="0" fontId="12" fillId="0" borderId="0" xfId="0" applyFont="1" applyAlignment="1">
      <alignment horizontal="right" indent="1"/>
    </xf>
    <xf numFmtId="0" fontId="13" fillId="6" borderId="0" xfId="0" applyFont="1" applyFill="1"/>
    <xf numFmtId="0" fontId="14" fillId="6" borderId="0" xfId="0" applyFont="1" applyFill="1"/>
    <xf numFmtId="0" fontId="15" fillId="0" borderId="0" xfId="0" applyFont="1"/>
    <xf numFmtId="2" fontId="15" fillId="0" borderId="0" xfId="0" applyNumberFormat="1" applyFont="1"/>
    <xf numFmtId="0" fontId="16" fillId="0" borderId="0" xfId="0" applyFont="1"/>
    <xf numFmtId="0" fontId="13" fillId="0" borderId="13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right" indent="1"/>
    </xf>
    <xf numFmtId="0" fontId="20" fillId="0" borderId="0" xfId="0" applyFont="1" applyAlignment="1">
      <alignment horizontal="left" indent="1"/>
    </xf>
    <xf numFmtId="0" fontId="12" fillId="0" borderId="0" xfId="0" applyFont="1" applyAlignment="1">
      <alignment horizontal="left"/>
    </xf>
    <xf numFmtId="0" fontId="20" fillId="0" borderId="0" xfId="0" applyFont="1"/>
    <xf numFmtId="0" fontId="22" fillId="0" borderId="0" xfId="0" applyFont="1"/>
    <xf numFmtId="0" fontId="23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3" fontId="24" fillId="0" borderId="0" xfId="0" applyNumberFormat="1" applyFont="1" applyAlignment="1">
      <alignment horizontal="right"/>
    </xf>
    <xf numFmtId="0" fontId="25" fillId="0" borderId="0" xfId="0" applyFont="1" applyAlignment="1">
      <alignment horizontal="left"/>
    </xf>
    <xf numFmtId="2" fontId="24" fillId="0" borderId="0" xfId="0" applyNumberFormat="1" applyFont="1" applyAlignment="1">
      <alignment horizontal="right"/>
    </xf>
    <xf numFmtId="0" fontId="25" fillId="0" borderId="0" xfId="0" applyFont="1"/>
    <xf numFmtId="0" fontId="23" fillId="0" borderId="0" xfId="0" applyFont="1" applyAlignment="1">
      <alignment horizontal="right" indent="1"/>
    </xf>
    <xf numFmtId="0" fontId="23" fillId="0" borderId="0" xfId="0" applyFont="1"/>
    <xf numFmtId="3" fontId="23" fillId="0" borderId="0" xfId="0" applyNumberFormat="1" applyFont="1" applyAlignment="1">
      <alignment horizontal="left"/>
    </xf>
    <xf numFmtId="0" fontId="24" fillId="0" borderId="0" xfId="0" applyFont="1" applyAlignment="1">
      <alignment horizontal="right" indent="1"/>
    </xf>
    <xf numFmtId="0" fontId="24" fillId="0" borderId="0" xfId="0" applyFont="1"/>
    <xf numFmtId="3" fontId="24" fillId="0" borderId="0" xfId="0" applyNumberFormat="1" applyFont="1" applyAlignment="1">
      <alignment horizontal="center"/>
    </xf>
    <xf numFmtId="0" fontId="24" fillId="0" borderId="16" xfId="0" applyFont="1" applyBorder="1"/>
    <xf numFmtId="4" fontId="24" fillId="0" borderId="0" xfId="0" applyNumberFormat="1" applyFont="1" applyAlignment="1">
      <alignment horizontal="center"/>
    </xf>
    <xf numFmtId="9" fontId="24" fillId="0" borderId="0" xfId="0" applyNumberFormat="1" applyFont="1"/>
    <xf numFmtId="10" fontId="24" fillId="0" borderId="0" xfId="0" applyNumberFormat="1" applyFont="1"/>
    <xf numFmtId="0" fontId="24" fillId="0" borderId="16" xfId="0" applyFont="1" applyBorder="1" applyAlignment="1">
      <alignment horizontal="left"/>
    </xf>
    <xf numFmtId="0" fontId="9" fillId="6" borderId="0" xfId="0" applyFont="1" applyFill="1"/>
    <xf numFmtId="0" fontId="2" fillId="6" borderId="0" xfId="0" applyFont="1" applyFill="1"/>
    <xf numFmtId="0" fontId="9" fillId="0" borderId="0" xfId="0" applyFont="1"/>
    <xf numFmtId="0" fontId="9" fillId="0" borderId="0" xfId="0" applyFont="1" applyAlignment="1">
      <alignment horizontal="right" indent="1"/>
    </xf>
    <xf numFmtId="0" fontId="4" fillId="2" borderId="1" xfId="1"/>
    <xf numFmtId="1" fontId="9" fillId="6" borderId="0" xfId="0" applyNumberFormat="1" applyFont="1" applyFill="1"/>
    <xf numFmtId="2" fontId="9" fillId="6" borderId="0" xfId="0" applyNumberFormat="1" applyFont="1" applyFill="1"/>
    <xf numFmtId="0" fontId="2" fillId="6" borderId="3" xfId="0" applyFont="1" applyFill="1" applyBorder="1"/>
    <xf numFmtId="0" fontId="2" fillId="6" borderId="4" xfId="0" applyFont="1" applyFill="1" applyBorder="1"/>
    <xf numFmtId="0" fontId="2" fillId="6" borderId="4" xfId="0" applyFont="1" applyFill="1" applyBorder="1" applyAlignment="1">
      <alignment wrapText="1"/>
    </xf>
    <xf numFmtId="0" fontId="2" fillId="6" borderId="5" xfId="0" applyFont="1" applyFill="1" applyBorder="1"/>
    <xf numFmtId="0" fontId="9" fillId="6" borderId="5" xfId="0" applyFont="1" applyFill="1" applyBorder="1"/>
    <xf numFmtId="2" fontId="4" fillId="2" borderId="1" xfId="1" applyNumberFormat="1"/>
    <xf numFmtId="3" fontId="9" fillId="6" borderId="0" xfId="0" applyNumberFormat="1" applyFont="1" applyFill="1"/>
    <xf numFmtId="0" fontId="2" fillId="6" borderId="6" xfId="0" applyFont="1" applyFill="1" applyBorder="1"/>
    <xf numFmtId="0" fontId="2" fillId="6" borderId="0" xfId="0" applyFont="1" applyFill="1" applyAlignment="1">
      <alignment wrapText="1"/>
    </xf>
    <xf numFmtId="0" fontId="2" fillId="6" borderId="7" xfId="0" applyFont="1" applyFill="1" applyBorder="1" applyAlignment="1">
      <alignment wrapText="1"/>
    </xf>
    <xf numFmtId="0" fontId="2" fillId="6" borderId="6" xfId="0" applyFont="1" applyFill="1" applyBorder="1" applyAlignment="1">
      <alignment wrapText="1"/>
    </xf>
    <xf numFmtId="0" fontId="9" fillId="6" borderId="6" xfId="0" applyFont="1" applyFill="1" applyBorder="1"/>
    <xf numFmtId="2" fontId="9" fillId="6" borderId="7" xfId="0" applyNumberFormat="1" applyFont="1" applyFill="1" applyBorder="1"/>
    <xf numFmtId="0" fontId="9" fillId="6" borderId="7" xfId="0" applyFont="1" applyFill="1" applyBorder="1"/>
    <xf numFmtId="166" fontId="9" fillId="6" borderId="0" xfId="0" applyNumberFormat="1" applyFont="1" applyFill="1"/>
    <xf numFmtId="167" fontId="9" fillId="6" borderId="0" xfId="0" applyNumberFormat="1" applyFont="1" applyFill="1"/>
    <xf numFmtId="2" fontId="9" fillId="0" borderId="0" xfId="0" applyNumberFormat="1" applyFont="1"/>
    <xf numFmtId="3" fontId="4" fillId="2" borderId="1" xfId="1" applyNumberFormat="1"/>
    <xf numFmtId="2" fontId="4" fillId="6" borderId="0" xfId="1" applyNumberFormat="1" applyFill="1" applyBorder="1"/>
    <xf numFmtId="0" fontId="9" fillId="0" borderId="14" xfId="0" applyFont="1" applyBorder="1" applyAlignment="1">
      <alignment horizontal="right"/>
    </xf>
    <xf numFmtId="164" fontId="4" fillId="6" borderId="0" xfId="1" applyNumberFormat="1" applyFill="1" applyBorder="1"/>
    <xf numFmtId="3" fontId="9" fillId="0" borderId="0" xfId="0" applyNumberFormat="1" applyFont="1"/>
    <xf numFmtId="168" fontId="9" fillId="0" borderId="14" xfId="0" applyNumberFormat="1" applyFont="1" applyBorder="1"/>
    <xf numFmtId="168" fontId="9" fillId="0" borderId="0" xfId="0" applyNumberFormat="1" applyFont="1"/>
    <xf numFmtId="0" fontId="9" fillId="0" borderId="14" xfId="0" applyFont="1" applyBorder="1"/>
    <xf numFmtId="164" fontId="9" fillId="6" borderId="0" xfId="0" applyNumberFormat="1" applyFont="1" applyFill="1"/>
    <xf numFmtId="3" fontId="9" fillId="0" borderId="0" xfId="0" applyNumberFormat="1" applyFont="1" applyAlignment="1">
      <alignment horizontal="right"/>
    </xf>
    <xf numFmtId="0" fontId="9" fillId="0" borderId="15" xfId="0" applyFont="1" applyBorder="1"/>
    <xf numFmtId="165" fontId="9" fillId="6" borderId="0" xfId="0" applyNumberFormat="1" applyFont="1" applyFill="1"/>
    <xf numFmtId="1" fontId="5" fillId="6" borderId="0" xfId="2" applyNumberFormat="1" applyFill="1" applyBorder="1"/>
    <xf numFmtId="1" fontId="4" fillId="6" borderId="0" xfId="1" applyNumberFormat="1" applyFill="1" applyBorder="1"/>
    <xf numFmtId="0" fontId="2" fillId="0" borderId="0" xfId="0" applyFont="1" applyAlignment="1">
      <alignment horizontal="center"/>
    </xf>
    <xf numFmtId="164" fontId="5" fillId="6" borderId="0" xfId="2" applyNumberFormat="1" applyFill="1" applyBorder="1"/>
    <xf numFmtId="169" fontId="4" fillId="2" borderId="1" xfId="1" applyNumberFormat="1"/>
    <xf numFmtId="0" fontId="9" fillId="0" borderId="0" xfId="0" applyFont="1" applyAlignment="1">
      <alignment horizontal="left"/>
    </xf>
    <xf numFmtId="0" fontId="2" fillId="6" borderId="0" xfId="0" applyFont="1" applyFill="1" applyAlignment="1">
      <alignment horizontal="center"/>
    </xf>
    <xf numFmtId="0" fontId="4" fillId="2" borderId="1" xfId="1" applyAlignment="1">
      <alignment horizontal="right"/>
    </xf>
    <xf numFmtId="0" fontId="9" fillId="6" borderId="8" xfId="0" applyFont="1" applyFill="1" applyBorder="1"/>
    <xf numFmtId="3" fontId="9" fillId="6" borderId="9" xfId="0" applyNumberFormat="1" applyFont="1" applyFill="1" applyBorder="1"/>
    <xf numFmtId="2" fontId="9" fillId="6" borderId="9" xfId="0" applyNumberFormat="1" applyFont="1" applyFill="1" applyBorder="1"/>
    <xf numFmtId="2" fontId="9" fillId="6" borderId="10" xfId="0" applyNumberFormat="1" applyFont="1" applyFill="1" applyBorder="1"/>
    <xf numFmtId="3" fontId="4" fillId="2" borderId="1" xfId="1" applyNumberFormat="1" applyAlignment="1">
      <alignment horizontal="right"/>
    </xf>
    <xf numFmtId="0" fontId="2" fillId="5" borderId="11" xfId="0" applyFont="1" applyFill="1" applyBorder="1"/>
    <xf numFmtId="0" fontId="2" fillId="5" borderId="12" xfId="0" applyFont="1" applyFill="1" applyBorder="1"/>
    <xf numFmtId="3" fontId="2" fillId="0" borderId="13" xfId="0" applyNumberFormat="1" applyFont="1" applyBorder="1" applyAlignment="1">
      <alignment horizontal="right"/>
    </xf>
    <xf numFmtId="4" fontId="9" fillId="6" borderId="0" xfId="0" applyNumberFormat="1" applyFont="1" applyFill="1"/>
    <xf numFmtId="3" fontId="2" fillId="0" borderId="14" xfId="0" applyNumberFormat="1" applyFont="1" applyBorder="1" applyAlignment="1">
      <alignment horizontal="right"/>
    </xf>
    <xf numFmtId="3" fontId="2" fillId="0" borderId="15" xfId="0" applyNumberFormat="1" applyFont="1" applyBorder="1" applyAlignment="1">
      <alignment horizontal="right"/>
    </xf>
    <xf numFmtId="9" fontId="2" fillId="0" borderId="15" xfId="5" applyFont="1" applyBorder="1" applyAlignment="1">
      <alignment horizontal="right"/>
    </xf>
    <xf numFmtId="0" fontId="3" fillId="6" borderId="0" xfId="0" applyFont="1" applyFill="1" applyAlignment="1">
      <alignment horizontal="center"/>
    </xf>
    <xf numFmtId="0" fontId="7" fillId="0" borderId="6" xfId="0" applyFont="1" applyBorder="1" applyAlignment="1">
      <alignment horizontal="right" indent="1"/>
    </xf>
    <xf numFmtId="0" fontId="9" fillId="0" borderId="6" xfId="0" applyFont="1" applyBorder="1" applyAlignment="1">
      <alignment horizontal="right" indent="1"/>
    </xf>
    <xf numFmtId="1" fontId="9" fillId="0" borderId="0" xfId="0" applyNumberFormat="1" applyFont="1"/>
    <xf numFmtId="0" fontId="9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7" fillId="0" borderId="16" xfId="0" applyFont="1" applyBorder="1" applyAlignment="1">
      <alignment horizontal="center"/>
    </xf>
    <xf numFmtId="0" fontId="7" fillId="0" borderId="0" xfId="0" applyFont="1" applyAlignment="1">
      <alignment horizontal="left"/>
    </xf>
    <xf numFmtId="3" fontId="7" fillId="0" borderId="0" xfId="0" applyNumberFormat="1" applyFont="1" applyAlignment="1">
      <alignment horizontal="center"/>
    </xf>
    <xf numFmtId="0" fontId="0" fillId="6" borderId="0" xfId="0" applyFill="1"/>
    <xf numFmtId="0" fontId="20" fillId="6" borderId="0" xfId="0" applyFont="1" applyFill="1"/>
    <xf numFmtId="2" fontId="2" fillId="6" borderId="0" xfId="0" applyNumberFormat="1" applyFont="1" applyFill="1"/>
  </cellXfs>
  <cellStyles count="6">
    <cellStyle name="Bad" xfId="3" builtinId="27" customBuiltin="1"/>
    <cellStyle name="Hyperlink" xfId="4" builtinId="8"/>
    <cellStyle name="Input" xfId="1" builtinId="20"/>
    <cellStyle name="Normal" xfId="0" builtinId="0"/>
    <cellStyle name="Output" xfId="2" builtinId="21"/>
    <cellStyle name="Percent" xfId="5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C7CE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4"/>
          <c:order val="3"/>
          <c:tx>
            <c:v>State Point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tx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Input!$D$12</c:f>
              <c:numCache>
                <c:formatCode>#,##0</c:formatCode>
                <c:ptCount val="1"/>
                <c:pt idx="0">
                  <c:v>4000</c:v>
                </c:pt>
              </c:numCache>
            </c:numRef>
          </c:xVal>
          <c:yVal>
            <c:numRef>
              <c:f>Input!$D$22</c:f>
              <c:numCache>
                <c:formatCode>0.00</c:formatCode>
                <c:ptCount val="1"/>
                <c:pt idx="0">
                  <c:v>15.663550417742863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F3-4513-AB3F-29FFBE60D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0663472"/>
        <c:axId val="1270668256"/>
      </c:scatterChart>
      <c:scatterChart>
        <c:scatterStyle val="smoothMarker"/>
        <c:varyColors val="0"/>
        <c:ser>
          <c:idx val="1"/>
          <c:order val="0"/>
          <c:tx>
            <c:strRef>
              <c:f>Input!$AE$3</c:f>
              <c:strCache>
                <c:ptCount val="1"/>
                <c:pt idx="0">
                  <c:v>Overflow Rate #1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Input!$AB$5:$AB$73</c:f>
              <c:numCache>
                <c:formatCode>#,##0</c:formatCode>
                <c:ptCount val="69"/>
                <c:pt idx="0">
                  <c:v>0</c:v>
                </c:pt>
                <c:pt idx="1">
                  <c:v>250</c:v>
                </c:pt>
                <c:pt idx="2">
                  <c:v>500</c:v>
                </c:pt>
                <c:pt idx="3">
                  <c:v>750</c:v>
                </c:pt>
                <c:pt idx="4">
                  <c:v>1000</c:v>
                </c:pt>
                <c:pt idx="5">
                  <c:v>1250</c:v>
                </c:pt>
                <c:pt idx="6">
                  <c:v>1500</c:v>
                </c:pt>
                <c:pt idx="7">
                  <c:v>1750</c:v>
                </c:pt>
                <c:pt idx="8">
                  <c:v>2000</c:v>
                </c:pt>
                <c:pt idx="9">
                  <c:v>2250</c:v>
                </c:pt>
                <c:pt idx="10">
                  <c:v>2500</c:v>
                </c:pt>
                <c:pt idx="11">
                  <c:v>2750</c:v>
                </c:pt>
                <c:pt idx="12">
                  <c:v>3000</c:v>
                </c:pt>
                <c:pt idx="13">
                  <c:v>3250</c:v>
                </c:pt>
                <c:pt idx="14">
                  <c:v>3500</c:v>
                </c:pt>
                <c:pt idx="15">
                  <c:v>3750</c:v>
                </c:pt>
                <c:pt idx="16">
                  <c:v>4000</c:v>
                </c:pt>
                <c:pt idx="17">
                  <c:v>4250</c:v>
                </c:pt>
                <c:pt idx="18">
                  <c:v>4500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5500</c:v>
                </c:pt>
                <c:pt idx="23">
                  <c:v>5750</c:v>
                </c:pt>
                <c:pt idx="24">
                  <c:v>6000</c:v>
                </c:pt>
                <c:pt idx="25">
                  <c:v>6250</c:v>
                </c:pt>
                <c:pt idx="26">
                  <c:v>6500</c:v>
                </c:pt>
                <c:pt idx="27">
                  <c:v>6750</c:v>
                </c:pt>
                <c:pt idx="28">
                  <c:v>7000</c:v>
                </c:pt>
                <c:pt idx="29">
                  <c:v>7250</c:v>
                </c:pt>
                <c:pt idx="30">
                  <c:v>7500</c:v>
                </c:pt>
                <c:pt idx="31">
                  <c:v>7750</c:v>
                </c:pt>
                <c:pt idx="32">
                  <c:v>8000</c:v>
                </c:pt>
                <c:pt idx="33">
                  <c:v>8250</c:v>
                </c:pt>
                <c:pt idx="34">
                  <c:v>8500</c:v>
                </c:pt>
                <c:pt idx="35">
                  <c:v>8750</c:v>
                </c:pt>
                <c:pt idx="36">
                  <c:v>9000</c:v>
                </c:pt>
                <c:pt idx="37">
                  <c:v>9250</c:v>
                </c:pt>
                <c:pt idx="38">
                  <c:v>9500</c:v>
                </c:pt>
                <c:pt idx="39">
                  <c:v>9750</c:v>
                </c:pt>
                <c:pt idx="40">
                  <c:v>10000</c:v>
                </c:pt>
                <c:pt idx="41">
                  <c:v>10250</c:v>
                </c:pt>
                <c:pt idx="42">
                  <c:v>10500</c:v>
                </c:pt>
                <c:pt idx="43">
                  <c:v>10750</c:v>
                </c:pt>
                <c:pt idx="44">
                  <c:v>11000</c:v>
                </c:pt>
                <c:pt idx="45">
                  <c:v>11250</c:v>
                </c:pt>
                <c:pt idx="46">
                  <c:v>11500</c:v>
                </c:pt>
                <c:pt idx="47">
                  <c:v>11750</c:v>
                </c:pt>
                <c:pt idx="48">
                  <c:v>12000</c:v>
                </c:pt>
                <c:pt idx="49">
                  <c:v>12250</c:v>
                </c:pt>
                <c:pt idx="50">
                  <c:v>12500</c:v>
                </c:pt>
                <c:pt idx="51">
                  <c:v>12750</c:v>
                </c:pt>
                <c:pt idx="52">
                  <c:v>13000</c:v>
                </c:pt>
                <c:pt idx="53">
                  <c:v>13250</c:v>
                </c:pt>
                <c:pt idx="54">
                  <c:v>13500</c:v>
                </c:pt>
                <c:pt idx="55">
                  <c:v>13750</c:v>
                </c:pt>
                <c:pt idx="56">
                  <c:v>14000</c:v>
                </c:pt>
                <c:pt idx="57">
                  <c:v>14500</c:v>
                </c:pt>
                <c:pt idx="58">
                  <c:v>15000</c:v>
                </c:pt>
                <c:pt idx="59">
                  <c:v>15500</c:v>
                </c:pt>
                <c:pt idx="60">
                  <c:v>16000</c:v>
                </c:pt>
                <c:pt idx="61">
                  <c:v>16500</c:v>
                </c:pt>
                <c:pt idx="62">
                  <c:v>17000</c:v>
                </c:pt>
                <c:pt idx="63">
                  <c:v>17500</c:v>
                </c:pt>
                <c:pt idx="64">
                  <c:v>18000</c:v>
                </c:pt>
                <c:pt idx="65">
                  <c:v>18500</c:v>
                </c:pt>
                <c:pt idx="66">
                  <c:v>19000</c:v>
                </c:pt>
                <c:pt idx="67">
                  <c:v>19500</c:v>
                </c:pt>
                <c:pt idx="68">
                  <c:v>20000</c:v>
                </c:pt>
              </c:numCache>
            </c:numRef>
          </c:xVal>
          <c:yVal>
            <c:numRef>
              <c:f>Input!$AE$5:$AE$73</c:f>
              <c:numCache>
                <c:formatCode>0.00</c:formatCode>
                <c:ptCount val="69"/>
                <c:pt idx="0">
                  <c:v>0</c:v>
                </c:pt>
                <c:pt idx="1">
                  <c:v>0.97897190110892895</c:v>
                </c:pt>
                <c:pt idx="2">
                  <c:v>1.9579438022178579</c:v>
                </c:pt>
                <c:pt idx="3">
                  <c:v>2.9369157033267874</c:v>
                </c:pt>
                <c:pt idx="4">
                  <c:v>3.9158876044357158</c:v>
                </c:pt>
                <c:pt idx="5">
                  <c:v>4.8948595055446447</c:v>
                </c:pt>
                <c:pt idx="6">
                  <c:v>5.8738314066535748</c:v>
                </c:pt>
                <c:pt idx="7">
                  <c:v>6.8528033077625023</c:v>
                </c:pt>
                <c:pt idx="8">
                  <c:v>7.8317752088714316</c:v>
                </c:pt>
                <c:pt idx="9">
                  <c:v>8.81074710998036</c:v>
                </c:pt>
                <c:pt idx="10">
                  <c:v>9.7897190110892893</c:v>
                </c:pt>
                <c:pt idx="11">
                  <c:v>10.768690912198219</c:v>
                </c:pt>
                <c:pt idx="12">
                  <c:v>11.74766281330715</c:v>
                </c:pt>
                <c:pt idx="13">
                  <c:v>12.726634714416079</c:v>
                </c:pt>
                <c:pt idx="14">
                  <c:v>13.705606615525005</c:v>
                </c:pt>
                <c:pt idx="15">
                  <c:v>14.684578516633934</c:v>
                </c:pt>
                <c:pt idx="16">
                  <c:v>15.663550417742863</c:v>
                </c:pt>
                <c:pt idx="17">
                  <c:v>16.642522318851793</c:v>
                </c:pt>
                <c:pt idx="18">
                  <c:v>17.62149421996072</c:v>
                </c:pt>
                <c:pt idx="19">
                  <c:v>18.600466121069651</c:v>
                </c:pt>
                <c:pt idx="20">
                  <c:v>19.579438022178579</c:v>
                </c:pt>
                <c:pt idx="21">
                  <c:v>20.55840992328751</c:v>
                </c:pt>
                <c:pt idx="22">
                  <c:v>21.537381824396437</c:v>
                </c:pt>
                <c:pt idx="23">
                  <c:v>22.516353725505368</c:v>
                </c:pt>
                <c:pt idx="24">
                  <c:v>23.495325626614299</c:v>
                </c:pt>
                <c:pt idx="25">
                  <c:v>24.474297527723227</c:v>
                </c:pt>
                <c:pt idx="26">
                  <c:v>25.453269428832158</c:v>
                </c:pt>
                <c:pt idx="27">
                  <c:v>26.432241329941085</c:v>
                </c:pt>
                <c:pt idx="28">
                  <c:v>27.411213231050009</c:v>
                </c:pt>
                <c:pt idx="29">
                  <c:v>28.39018513215894</c:v>
                </c:pt>
                <c:pt idx="30">
                  <c:v>29.369157033267868</c:v>
                </c:pt>
                <c:pt idx="31">
                  <c:v>30.348128934376799</c:v>
                </c:pt>
                <c:pt idx="32">
                  <c:v>31.327100835485727</c:v>
                </c:pt>
                <c:pt idx="33">
                  <c:v>32.306072736594658</c:v>
                </c:pt>
                <c:pt idx="34">
                  <c:v>33.285044637703585</c:v>
                </c:pt>
                <c:pt idx="35">
                  <c:v>34.264016538812513</c:v>
                </c:pt>
                <c:pt idx="36">
                  <c:v>35.24298843992144</c:v>
                </c:pt>
                <c:pt idx="37">
                  <c:v>36.221960341030375</c:v>
                </c:pt>
                <c:pt idx="38">
                  <c:v>37.200932242139302</c:v>
                </c:pt>
                <c:pt idx="39">
                  <c:v>38.17990414324823</c:v>
                </c:pt>
                <c:pt idx="40">
                  <c:v>39.158876044357157</c:v>
                </c:pt>
                <c:pt idx="41">
                  <c:v>40.137847945466092</c:v>
                </c:pt>
                <c:pt idx="42">
                  <c:v>41.116819846575019</c:v>
                </c:pt>
                <c:pt idx="43">
                  <c:v>42.095791747683954</c:v>
                </c:pt>
                <c:pt idx="44">
                  <c:v>43.074763648792874</c:v>
                </c:pt>
                <c:pt idx="45">
                  <c:v>44.053735549901809</c:v>
                </c:pt>
                <c:pt idx="46">
                  <c:v>45.032707451010737</c:v>
                </c:pt>
                <c:pt idx="47">
                  <c:v>46.011679352119671</c:v>
                </c:pt>
                <c:pt idx="48">
                  <c:v>46.990651253228599</c:v>
                </c:pt>
                <c:pt idx="49">
                  <c:v>47.969623154337519</c:v>
                </c:pt>
                <c:pt idx="50">
                  <c:v>48.948595055446454</c:v>
                </c:pt>
                <c:pt idx="51">
                  <c:v>49.927566956555381</c:v>
                </c:pt>
                <c:pt idx="52">
                  <c:v>50.906538857664316</c:v>
                </c:pt>
                <c:pt idx="53">
                  <c:v>51.885510758773236</c:v>
                </c:pt>
                <c:pt idx="54">
                  <c:v>52.864482659882171</c:v>
                </c:pt>
                <c:pt idx="55">
                  <c:v>53.843454560991098</c:v>
                </c:pt>
                <c:pt idx="56">
                  <c:v>54.822426462100019</c:v>
                </c:pt>
                <c:pt idx="57">
                  <c:v>56.780370264317881</c:v>
                </c:pt>
                <c:pt idx="58">
                  <c:v>58.738314066535736</c:v>
                </c:pt>
                <c:pt idx="59">
                  <c:v>60.696257868753598</c:v>
                </c:pt>
                <c:pt idx="60">
                  <c:v>62.654201670971453</c:v>
                </c:pt>
                <c:pt idx="61">
                  <c:v>64.612145473189315</c:v>
                </c:pt>
                <c:pt idx="62">
                  <c:v>66.57008927540717</c:v>
                </c:pt>
                <c:pt idx="63">
                  <c:v>68.528033077625025</c:v>
                </c:pt>
                <c:pt idx="64">
                  <c:v>70.48597687984288</c:v>
                </c:pt>
                <c:pt idx="65">
                  <c:v>72.44392068206075</c:v>
                </c:pt>
                <c:pt idx="66">
                  <c:v>74.401864484278605</c:v>
                </c:pt>
                <c:pt idx="67">
                  <c:v>76.35980828649646</c:v>
                </c:pt>
                <c:pt idx="68">
                  <c:v>78.317752088714315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F3-4513-AB3F-29FFBE60D1D7}"/>
            </c:ext>
          </c:extLst>
        </c:ser>
        <c:ser>
          <c:idx val="2"/>
          <c:order val="1"/>
          <c:tx>
            <c:strRef>
              <c:f>Input!$AG$3</c:f>
              <c:strCache>
                <c:ptCount val="1"/>
                <c:pt idx="0">
                  <c:v>Underflow Rate #1</c:v>
                </c:pt>
              </c:strCache>
            </c:strRef>
          </c:tx>
          <c:spPr>
            <a:ln w="254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Input!$AB$5:$AB$73</c:f>
              <c:numCache>
                <c:formatCode>#,##0</c:formatCode>
                <c:ptCount val="69"/>
                <c:pt idx="0">
                  <c:v>0</c:v>
                </c:pt>
                <c:pt idx="1">
                  <c:v>250</c:v>
                </c:pt>
                <c:pt idx="2">
                  <c:v>500</c:v>
                </c:pt>
                <c:pt idx="3">
                  <c:v>750</c:v>
                </c:pt>
                <c:pt idx="4">
                  <c:v>1000</c:v>
                </c:pt>
                <c:pt idx="5">
                  <c:v>1250</c:v>
                </c:pt>
                <c:pt idx="6">
                  <c:v>1500</c:v>
                </c:pt>
                <c:pt idx="7">
                  <c:v>1750</c:v>
                </c:pt>
                <c:pt idx="8">
                  <c:v>2000</c:v>
                </c:pt>
                <c:pt idx="9">
                  <c:v>2250</c:v>
                </c:pt>
                <c:pt idx="10">
                  <c:v>2500</c:v>
                </c:pt>
                <c:pt idx="11">
                  <c:v>2750</c:v>
                </c:pt>
                <c:pt idx="12">
                  <c:v>3000</c:v>
                </c:pt>
                <c:pt idx="13">
                  <c:v>3250</c:v>
                </c:pt>
                <c:pt idx="14">
                  <c:v>3500</c:v>
                </c:pt>
                <c:pt idx="15">
                  <c:v>3750</c:v>
                </c:pt>
                <c:pt idx="16">
                  <c:v>4000</c:v>
                </c:pt>
                <c:pt idx="17">
                  <c:v>4250</c:v>
                </c:pt>
                <c:pt idx="18">
                  <c:v>4500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5500</c:v>
                </c:pt>
                <c:pt idx="23">
                  <c:v>5750</c:v>
                </c:pt>
                <c:pt idx="24">
                  <c:v>6000</c:v>
                </c:pt>
                <c:pt idx="25">
                  <c:v>6250</c:v>
                </c:pt>
                <c:pt idx="26">
                  <c:v>6500</c:v>
                </c:pt>
                <c:pt idx="27">
                  <c:v>6750</c:v>
                </c:pt>
                <c:pt idx="28">
                  <c:v>7000</c:v>
                </c:pt>
                <c:pt idx="29">
                  <c:v>7250</c:v>
                </c:pt>
                <c:pt idx="30">
                  <c:v>7500</c:v>
                </c:pt>
                <c:pt idx="31">
                  <c:v>7750</c:v>
                </c:pt>
                <c:pt idx="32">
                  <c:v>8000</c:v>
                </c:pt>
                <c:pt idx="33">
                  <c:v>8250</c:v>
                </c:pt>
                <c:pt idx="34">
                  <c:v>8500</c:v>
                </c:pt>
                <c:pt idx="35">
                  <c:v>8750</c:v>
                </c:pt>
                <c:pt idx="36">
                  <c:v>9000</c:v>
                </c:pt>
                <c:pt idx="37">
                  <c:v>9250</c:v>
                </c:pt>
                <c:pt idx="38">
                  <c:v>9500</c:v>
                </c:pt>
                <c:pt idx="39">
                  <c:v>9750</c:v>
                </c:pt>
                <c:pt idx="40">
                  <c:v>10000</c:v>
                </c:pt>
                <c:pt idx="41">
                  <c:v>10250</c:v>
                </c:pt>
                <c:pt idx="42">
                  <c:v>10500</c:v>
                </c:pt>
                <c:pt idx="43">
                  <c:v>10750</c:v>
                </c:pt>
                <c:pt idx="44">
                  <c:v>11000</c:v>
                </c:pt>
                <c:pt idx="45">
                  <c:v>11250</c:v>
                </c:pt>
                <c:pt idx="46">
                  <c:v>11500</c:v>
                </c:pt>
                <c:pt idx="47">
                  <c:v>11750</c:v>
                </c:pt>
                <c:pt idx="48">
                  <c:v>12000</c:v>
                </c:pt>
                <c:pt idx="49">
                  <c:v>12250</c:v>
                </c:pt>
                <c:pt idx="50">
                  <c:v>12500</c:v>
                </c:pt>
                <c:pt idx="51">
                  <c:v>12750</c:v>
                </c:pt>
                <c:pt idx="52">
                  <c:v>13000</c:v>
                </c:pt>
                <c:pt idx="53">
                  <c:v>13250</c:v>
                </c:pt>
                <c:pt idx="54">
                  <c:v>13500</c:v>
                </c:pt>
                <c:pt idx="55">
                  <c:v>13750</c:v>
                </c:pt>
                <c:pt idx="56">
                  <c:v>14000</c:v>
                </c:pt>
                <c:pt idx="57">
                  <c:v>14500</c:v>
                </c:pt>
                <c:pt idx="58">
                  <c:v>15000</c:v>
                </c:pt>
                <c:pt idx="59">
                  <c:v>15500</c:v>
                </c:pt>
                <c:pt idx="60">
                  <c:v>16000</c:v>
                </c:pt>
                <c:pt idx="61">
                  <c:v>16500</c:v>
                </c:pt>
                <c:pt idx="62">
                  <c:v>17000</c:v>
                </c:pt>
                <c:pt idx="63">
                  <c:v>17500</c:v>
                </c:pt>
                <c:pt idx="64">
                  <c:v>18000</c:v>
                </c:pt>
                <c:pt idx="65">
                  <c:v>18500</c:v>
                </c:pt>
                <c:pt idx="66">
                  <c:v>19000</c:v>
                </c:pt>
                <c:pt idx="67">
                  <c:v>19500</c:v>
                </c:pt>
                <c:pt idx="68">
                  <c:v>20000</c:v>
                </c:pt>
              </c:numCache>
            </c:numRef>
          </c:xVal>
          <c:yVal>
            <c:numRef>
              <c:f>Input!$AG$5:$AG$73</c:f>
              <c:numCache>
                <c:formatCode>0.00</c:formatCode>
                <c:ptCount val="69"/>
                <c:pt idx="0">
                  <c:v>31.327100835485727</c:v>
                </c:pt>
                <c:pt idx="1">
                  <c:v>30.348128934376799</c:v>
                </c:pt>
                <c:pt idx="2">
                  <c:v>29.369157033267868</c:v>
                </c:pt>
                <c:pt idx="3">
                  <c:v>28.39018513215894</c:v>
                </c:pt>
                <c:pt idx="4">
                  <c:v>27.411213231050009</c:v>
                </c:pt>
                <c:pt idx="5">
                  <c:v>26.432241329941082</c:v>
                </c:pt>
                <c:pt idx="6">
                  <c:v>25.453269428832151</c:v>
                </c:pt>
                <c:pt idx="7">
                  <c:v>24.474297527723223</c:v>
                </c:pt>
                <c:pt idx="8">
                  <c:v>23.495325626614296</c:v>
                </c:pt>
                <c:pt idx="9">
                  <c:v>22.516353725505368</c:v>
                </c:pt>
                <c:pt idx="10">
                  <c:v>21.537381824396437</c:v>
                </c:pt>
                <c:pt idx="11">
                  <c:v>20.558409923287506</c:v>
                </c:pt>
                <c:pt idx="12">
                  <c:v>19.579438022178579</c:v>
                </c:pt>
                <c:pt idx="13">
                  <c:v>18.600466121069651</c:v>
                </c:pt>
                <c:pt idx="14">
                  <c:v>17.621494219960724</c:v>
                </c:pt>
                <c:pt idx="15">
                  <c:v>16.642522318851793</c:v>
                </c:pt>
                <c:pt idx="16">
                  <c:v>15.663550417742863</c:v>
                </c:pt>
                <c:pt idx="17">
                  <c:v>14.684578516633934</c:v>
                </c:pt>
                <c:pt idx="18">
                  <c:v>13.705606615525006</c:v>
                </c:pt>
                <c:pt idx="19">
                  <c:v>12.726634714416075</c:v>
                </c:pt>
                <c:pt idx="20">
                  <c:v>11.747662813307148</c:v>
                </c:pt>
                <c:pt idx="21">
                  <c:v>10.76869091219822</c:v>
                </c:pt>
                <c:pt idx="22">
                  <c:v>9.7897190110892893</c:v>
                </c:pt>
                <c:pt idx="23">
                  <c:v>8.8107471099803618</c:v>
                </c:pt>
                <c:pt idx="24">
                  <c:v>7.8317752088714307</c:v>
                </c:pt>
                <c:pt idx="25">
                  <c:v>6.8528033077625032</c:v>
                </c:pt>
                <c:pt idx="26">
                  <c:v>5.8738314066535722</c:v>
                </c:pt>
                <c:pt idx="27">
                  <c:v>4.8948595055446482</c:v>
                </c:pt>
                <c:pt idx="28">
                  <c:v>3.9158876044357172</c:v>
                </c:pt>
                <c:pt idx="29">
                  <c:v>2.9369157033267896</c:v>
                </c:pt>
                <c:pt idx="30">
                  <c:v>1.9579438022178586</c:v>
                </c:pt>
                <c:pt idx="31">
                  <c:v>0.97897190110893106</c:v>
                </c:pt>
                <c:pt idx="32">
                  <c:v>0</c:v>
                </c:pt>
                <c:pt idx="33">
                  <c:v>-0.97897190110893106</c:v>
                </c:pt>
                <c:pt idx="34">
                  <c:v>-1.9579438022178586</c:v>
                </c:pt>
                <c:pt idx="35">
                  <c:v>-2.9369157033267861</c:v>
                </c:pt>
                <c:pt idx="36">
                  <c:v>-3.9158876044357136</c:v>
                </c:pt>
                <c:pt idx="37">
                  <c:v>-4.8948595055446482</c:v>
                </c:pt>
                <c:pt idx="38">
                  <c:v>-5.8738314066535757</c:v>
                </c:pt>
                <c:pt idx="39">
                  <c:v>-6.8528033077625032</c:v>
                </c:pt>
                <c:pt idx="40">
                  <c:v>-7.8317752088714307</c:v>
                </c:pt>
                <c:pt idx="41">
                  <c:v>-8.8107471099803583</c:v>
                </c:pt>
                <c:pt idx="42">
                  <c:v>-9.7897190110892858</c:v>
                </c:pt>
                <c:pt idx="43">
                  <c:v>-10.76869091219822</c:v>
                </c:pt>
                <c:pt idx="44">
                  <c:v>-11.747662813307148</c:v>
                </c:pt>
                <c:pt idx="45">
                  <c:v>-12.726634714416068</c:v>
                </c:pt>
                <c:pt idx="46">
                  <c:v>-13.705606615525003</c:v>
                </c:pt>
                <c:pt idx="47">
                  <c:v>-14.68457851663393</c:v>
                </c:pt>
                <c:pt idx="48">
                  <c:v>-15.663550417742865</c:v>
                </c:pt>
                <c:pt idx="49">
                  <c:v>-16.642522318851793</c:v>
                </c:pt>
                <c:pt idx="50">
                  <c:v>-17.62149421996072</c:v>
                </c:pt>
                <c:pt idx="51">
                  <c:v>-18.600466121069648</c:v>
                </c:pt>
                <c:pt idx="52">
                  <c:v>-19.579438022178582</c:v>
                </c:pt>
                <c:pt idx="53">
                  <c:v>-20.55840992328751</c:v>
                </c:pt>
                <c:pt idx="54">
                  <c:v>-21.53738182439643</c:v>
                </c:pt>
                <c:pt idx="55">
                  <c:v>-22.516353725505365</c:v>
                </c:pt>
                <c:pt idx="56">
                  <c:v>-23.495325626614292</c:v>
                </c:pt>
                <c:pt idx="57">
                  <c:v>-25.453269428832147</c:v>
                </c:pt>
                <c:pt idx="58">
                  <c:v>-27.411213231050009</c:v>
                </c:pt>
                <c:pt idx="59">
                  <c:v>-29.369157033267864</c:v>
                </c:pt>
                <c:pt idx="60">
                  <c:v>-31.327100835485727</c:v>
                </c:pt>
                <c:pt idx="61">
                  <c:v>-33.285044637703592</c:v>
                </c:pt>
                <c:pt idx="62">
                  <c:v>-35.242988439921447</c:v>
                </c:pt>
                <c:pt idx="63">
                  <c:v>-37.200932242139302</c:v>
                </c:pt>
                <c:pt idx="64">
                  <c:v>-39.158876044357157</c:v>
                </c:pt>
                <c:pt idx="65">
                  <c:v>-41.116819846575027</c:v>
                </c:pt>
                <c:pt idx="66">
                  <c:v>-43.074763648792882</c:v>
                </c:pt>
                <c:pt idx="67">
                  <c:v>-45.032707451010737</c:v>
                </c:pt>
                <c:pt idx="68">
                  <c:v>-46.990651253228592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F3-4513-AB3F-29FFBE60D1D7}"/>
            </c:ext>
          </c:extLst>
        </c:ser>
        <c:ser>
          <c:idx val="0"/>
          <c:order val="2"/>
          <c:tx>
            <c:strRef>
              <c:f>Input!$AC$3</c:f>
              <c:strCache>
                <c:ptCount val="1"/>
                <c:pt idx="0">
                  <c:v>Gravity Flux #1</c:v>
                </c:pt>
              </c:strCache>
            </c:strRef>
          </c:tx>
          <c:spPr>
            <a:ln w="254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Input!$AB$5:$AB$73</c:f>
              <c:numCache>
                <c:formatCode>#,##0</c:formatCode>
                <c:ptCount val="69"/>
                <c:pt idx="0">
                  <c:v>0</c:v>
                </c:pt>
                <c:pt idx="1">
                  <c:v>250</c:v>
                </c:pt>
                <c:pt idx="2">
                  <c:v>500</c:v>
                </c:pt>
                <c:pt idx="3">
                  <c:v>750</c:v>
                </c:pt>
                <c:pt idx="4">
                  <c:v>1000</c:v>
                </c:pt>
                <c:pt idx="5">
                  <c:v>1250</c:v>
                </c:pt>
                <c:pt idx="6">
                  <c:v>1500</c:v>
                </c:pt>
                <c:pt idx="7">
                  <c:v>1750</c:v>
                </c:pt>
                <c:pt idx="8">
                  <c:v>2000</c:v>
                </c:pt>
                <c:pt idx="9">
                  <c:v>2250</c:v>
                </c:pt>
                <c:pt idx="10">
                  <c:v>2500</c:v>
                </c:pt>
                <c:pt idx="11">
                  <c:v>2750</c:v>
                </c:pt>
                <c:pt idx="12">
                  <c:v>3000</c:v>
                </c:pt>
                <c:pt idx="13">
                  <c:v>3250</c:v>
                </c:pt>
                <c:pt idx="14">
                  <c:v>3500</c:v>
                </c:pt>
                <c:pt idx="15">
                  <c:v>3750</c:v>
                </c:pt>
                <c:pt idx="16">
                  <c:v>4000</c:v>
                </c:pt>
                <c:pt idx="17">
                  <c:v>4250</c:v>
                </c:pt>
                <c:pt idx="18">
                  <c:v>4500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5500</c:v>
                </c:pt>
                <c:pt idx="23">
                  <c:v>5750</c:v>
                </c:pt>
                <c:pt idx="24">
                  <c:v>6000</c:v>
                </c:pt>
                <c:pt idx="25">
                  <c:v>6250</c:v>
                </c:pt>
                <c:pt idx="26">
                  <c:v>6500</c:v>
                </c:pt>
                <c:pt idx="27">
                  <c:v>6750</c:v>
                </c:pt>
                <c:pt idx="28">
                  <c:v>7000</c:v>
                </c:pt>
                <c:pt idx="29">
                  <c:v>7250</c:v>
                </c:pt>
                <c:pt idx="30">
                  <c:v>7500</c:v>
                </c:pt>
                <c:pt idx="31">
                  <c:v>7750</c:v>
                </c:pt>
                <c:pt idx="32">
                  <c:v>8000</c:v>
                </c:pt>
                <c:pt idx="33">
                  <c:v>8250</c:v>
                </c:pt>
                <c:pt idx="34">
                  <c:v>8500</c:v>
                </c:pt>
                <c:pt idx="35">
                  <c:v>8750</c:v>
                </c:pt>
                <c:pt idx="36">
                  <c:v>9000</c:v>
                </c:pt>
                <c:pt idx="37">
                  <c:v>9250</c:v>
                </c:pt>
                <c:pt idx="38">
                  <c:v>9500</c:v>
                </c:pt>
                <c:pt idx="39">
                  <c:v>9750</c:v>
                </c:pt>
                <c:pt idx="40">
                  <c:v>10000</c:v>
                </c:pt>
                <c:pt idx="41">
                  <c:v>10250</c:v>
                </c:pt>
                <c:pt idx="42">
                  <c:v>10500</c:v>
                </c:pt>
                <c:pt idx="43">
                  <c:v>10750</c:v>
                </c:pt>
                <c:pt idx="44">
                  <c:v>11000</c:v>
                </c:pt>
                <c:pt idx="45">
                  <c:v>11250</c:v>
                </c:pt>
                <c:pt idx="46">
                  <c:v>11500</c:v>
                </c:pt>
                <c:pt idx="47">
                  <c:v>11750</c:v>
                </c:pt>
                <c:pt idx="48">
                  <c:v>12000</c:v>
                </c:pt>
                <c:pt idx="49">
                  <c:v>12250</c:v>
                </c:pt>
                <c:pt idx="50">
                  <c:v>12500</c:v>
                </c:pt>
                <c:pt idx="51">
                  <c:v>12750</c:v>
                </c:pt>
                <c:pt idx="52">
                  <c:v>13000</c:v>
                </c:pt>
                <c:pt idx="53">
                  <c:v>13250</c:v>
                </c:pt>
                <c:pt idx="54">
                  <c:v>13500</c:v>
                </c:pt>
                <c:pt idx="55">
                  <c:v>13750</c:v>
                </c:pt>
                <c:pt idx="56">
                  <c:v>14000</c:v>
                </c:pt>
                <c:pt idx="57">
                  <c:v>14500</c:v>
                </c:pt>
                <c:pt idx="58">
                  <c:v>15000</c:v>
                </c:pt>
                <c:pt idx="59">
                  <c:v>15500</c:v>
                </c:pt>
                <c:pt idx="60">
                  <c:v>16000</c:v>
                </c:pt>
                <c:pt idx="61">
                  <c:v>16500</c:v>
                </c:pt>
                <c:pt idx="62">
                  <c:v>17000</c:v>
                </c:pt>
                <c:pt idx="63">
                  <c:v>17500</c:v>
                </c:pt>
                <c:pt idx="64">
                  <c:v>18000</c:v>
                </c:pt>
                <c:pt idx="65">
                  <c:v>18500</c:v>
                </c:pt>
                <c:pt idx="66">
                  <c:v>19000</c:v>
                </c:pt>
                <c:pt idx="67">
                  <c:v>19500</c:v>
                </c:pt>
                <c:pt idx="68">
                  <c:v>20000</c:v>
                </c:pt>
              </c:numCache>
            </c:numRef>
          </c:xVal>
          <c:yVal>
            <c:numRef>
              <c:f>Input!$AC$5:$AC$73</c:f>
              <c:numCache>
                <c:formatCode>0.00</c:formatCode>
                <c:ptCount val="69"/>
                <c:pt idx="0">
                  <c:v>0</c:v>
                </c:pt>
                <c:pt idx="1">
                  <c:v>7.3502180893152547</c:v>
                </c:pt>
                <c:pt idx="2">
                  <c:v>13.559361106469288</c:v>
                </c:pt>
                <c:pt idx="3">
                  <c:v>18.760287590945488</c:v>
                </c:pt>
                <c:pt idx="4">
                  <c:v>23.072105781153528</c:v>
                </c:pt>
                <c:pt idx="5">
                  <c:v>26.601507769212226</c:v>
                </c:pt>
                <c:pt idx="6">
                  <c:v>29.443979384255215</c:v>
                </c:pt>
                <c:pt idx="7">
                  <c:v>31.684897058138727</c:v>
                </c:pt>
                <c:pt idx="8">
                  <c:v>33.40052192909117</c:v>
                </c:pt>
                <c:pt idx="9">
                  <c:v>34.658900527684551</c:v>
                </c:pt>
                <c:pt idx="10">
                  <c:v>35.520680558008564</c:v>
                </c:pt>
                <c:pt idx="11">
                  <c:v>36.039849528212805</c:v>
                </c:pt>
                <c:pt idx="12">
                  <c:v>36.264403292361429</c:v>
                </c:pt>
                <c:pt idx="13">
                  <c:v>36.236950934066456</c:v>
                </c:pt>
                <c:pt idx="14">
                  <c:v>35.995261846371605</c:v>
                </c:pt>
                <c:pt idx="15">
                  <c:v>35.572760337038936</c:v>
                </c:pt>
                <c:pt idx="16">
                  <c:v>34.998972609349906</c:v>
                </c:pt>
                <c:pt idx="17">
                  <c:v>34.299930531750164</c:v>
                </c:pt>
                <c:pt idx="18">
                  <c:v>33.498536211470892</c:v>
                </c:pt>
                <c:pt idx="19">
                  <c:v>32.614891024289264</c:v>
                </c:pt>
                <c:pt idx="20">
                  <c:v>31.666592421776755</c:v>
                </c:pt>
                <c:pt idx="21">
                  <c:v>30.669001535923709</c:v>
                </c:pt>
                <c:pt idx="22">
                  <c:v>29.635484326354355</c:v>
                </c:pt>
                <c:pt idx="23">
                  <c:v>28.577628765120348</c:v>
                </c:pt>
                <c:pt idx="24">
                  <c:v>27.505440326139134</c:v>
                </c:pt>
                <c:pt idx="25">
                  <c:v>26.427517838773081</c:v>
                </c:pt>
                <c:pt idx="26">
                  <c:v>25.351211576039407</c:v>
                </c:pt>
                <c:pt idx="27">
                  <c:v>24.282765275867973</c:v>
                </c:pt>
                <c:pt idx="28">
                  <c:v>23.227443637194636</c:v>
                </c:pt>
                <c:pt idx="29">
                  <c:v>22.189646690130981</c:v>
                </c:pt>
                <c:pt idx="30">
                  <c:v>21.173012309743918</c:v>
                </c:pt>
                <c:pt idx="31">
                  <c:v>20.180508024977442</c:v>
                </c:pt>
                <c:pt idx="32">
                  <c:v>19.214513166917367</c:v>
                </c:pt>
                <c:pt idx="33">
                  <c:v>18.276892302992376</c:v>
                </c:pt>
                <c:pt idx="34">
                  <c:v>17.369060814959205</c:v>
                </c:pt>
                <c:pt idx="35">
                  <c:v>16.492043397847727</c:v>
                </c:pt>
                <c:pt idx="36">
                  <c:v>15.646526183725113</c:v>
                </c:pt>
                <c:pt idx="37">
                  <c:v>14.832903127520682</c:v>
                </c:pt>
                <c:pt idx="38">
                  <c:v>14.051317231636714</c:v>
                </c:pt>
                <c:pt idx="39">
                  <c:v>13.301697131109734</c:v>
                </c:pt>
                <c:pt idx="40">
                  <c:v>12.583789511182955</c:v>
                </c:pt>
                <c:pt idx="41">
                  <c:v>11.897187783850621</c:v>
                </c:pt>
                <c:pt idx="42">
                  <c:v>11.241357408824573</c:v>
                </c:pt>
                <c:pt idx="43">
                  <c:v>10.615658207074819</c:v>
                </c:pt>
                <c:pt idx="44">
                  <c:v>10.019363981265339</c:v>
                </c:pt>
                <c:pt idx="45">
                  <c:v>9.4516797267302692</c:v>
                </c:pt>
                <c:pt idx="46">
                  <c:v>8.9117566888277437</c:v>
                </c:pt>
                <c:pt idx="47">
                  <c:v>8.3987054973090061</c:v>
                </c:pt>
                <c:pt idx="48">
                  <c:v>7.9116075855111756</c:v>
                </c:pt>
                <c:pt idx="49">
                  <c:v>7.4495250815074394</c:v>
                </c:pt>
                <c:pt idx="50">
                  <c:v>7.0115093396313126</c:v>
                </c:pt>
                <c:pt idx="51">
                  <c:v>6.5966082638526045</c:v>
                </c:pt>
                <c:pt idx="52">
                  <c:v>6.2038725591588193</c:v>
                </c:pt>
                <c:pt idx="53">
                  <c:v>5.832361033237909</c:v>
                </c:pt>
                <c:pt idx="54">
                  <c:v>5.4811450582316272</c:v>
                </c:pt>
                <c:pt idx="55">
                  <c:v>5.1493122910097435</c:v>
                </c:pt>
                <c:pt idx="56">
                  <c:v>4.8359697401924118</c:v>
                </c:pt>
                <c:pt idx="57">
                  <c:v>4.2612945340308954</c:v>
                </c:pt>
                <c:pt idx="58">
                  <c:v>3.7504451778223555</c:v>
                </c:pt>
                <c:pt idx="59">
                  <c:v>3.2971694891329251</c:v>
                </c:pt>
                <c:pt idx="60">
                  <c:v>2.8956600111299</c:v>
                </c:pt>
                <c:pt idx="61">
                  <c:v>2.5405605021562994</c:v>
                </c:pt>
                <c:pt idx="62">
                  <c:v>2.2269605862371229</c:v>
                </c:pt>
                <c:pt idx="63">
                  <c:v>1.950381953236519</c:v>
                </c:pt>
                <c:pt idx="64">
                  <c:v>1.7067587496763417</c:v>
                </c:pt>
                <c:pt idx="65">
                  <c:v>1.4924142012079926</c:v>
                </c:pt>
                <c:pt idx="66">
                  <c:v>1.304035027973498</c:v>
                </c:pt>
                <c:pt idx="67">
                  <c:v>1.1386448320677292</c:v>
                </c:pt>
                <c:pt idx="68">
                  <c:v>0.99357733353699529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F3-4513-AB3F-29FFBE60D1D7}"/>
            </c:ext>
          </c:extLst>
        </c:ser>
        <c:ser>
          <c:idx val="3"/>
          <c:order val="4"/>
          <c:tx>
            <c:v>State Point #2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8"/>
            <c:spPr>
              <a:solidFill>
                <a:schemeClr val="bg1"/>
              </a:solidFill>
              <a:ln w="9525">
                <a:solidFill>
                  <a:schemeClr val="tx1"/>
                </a:solidFill>
                <a:prstDash val="dash"/>
              </a:ln>
              <a:effectLst/>
            </c:spPr>
          </c:marker>
          <c:xVal>
            <c:numRef>
              <c:f>Input!$F$12</c:f>
              <c:numCache>
                <c:formatCode>#,##0</c:formatCode>
                <c:ptCount val="1"/>
                <c:pt idx="0">
                  <c:v>2900</c:v>
                </c:pt>
              </c:numCache>
            </c:numRef>
          </c:xVal>
          <c:yVal>
            <c:numRef>
              <c:f>Input!$F$22</c:f>
              <c:numCache>
                <c:formatCode>0.00</c:formatCode>
                <c:ptCount val="1"/>
                <c:pt idx="0">
                  <c:v>11.356074052863574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F3-4513-AB3F-29FFBE60D1D7}"/>
            </c:ext>
          </c:extLst>
        </c:ser>
        <c:ser>
          <c:idx val="5"/>
          <c:order val="5"/>
          <c:tx>
            <c:strRef>
              <c:f>Input!$AF$3</c:f>
              <c:strCache>
                <c:ptCount val="1"/>
                <c:pt idx="0">
                  <c:v>Overflow Rate #2</c:v>
                </c:pt>
              </c:strCache>
            </c:strRef>
          </c:tx>
          <c:spPr>
            <a:ln w="2540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Input!$AB$5:$AB$73</c:f>
              <c:numCache>
                <c:formatCode>#,##0</c:formatCode>
                <c:ptCount val="69"/>
                <c:pt idx="0">
                  <c:v>0</c:v>
                </c:pt>
                <c:pt idx="1">
                  <c:v>250</c:v>
                </c:pt>
                <c:pt idx="2">
                  <c:v>500</c:v>
                </c:pt>
                <c:pt idx="3">
                  <c:v>750</c:v>
                </c:pt>
                <c:pt idx="4">
                  <c:v>1000</c:v>
                </c:pt>
                <c:pt idx="5">
                  <c:v>1250</c:v>
                </c:pt>
                <c:pt idx="6">
                  <c:v>1500</c:v>
                </c:pt>
                <c:pt idx="7">
                  <c:v>1750</c:v>
                </c:pt>
                <c:pt idx="8">
                  <c:v>2000</c:v>
                </c:pt>
                <c:pt idx="9">
                  <c:v>2250</c:v>
                </c:pt>
                <c:pt idx="10">
                  <c:v>2500</c:v>
                </c:pt>
                <c:pt idx="11">
                  <c:v>2750</c:v>
                </c:pt>
                <c:pt idx="12">
                  <c:v>3000</c:v>
                </c:pt>
                <c:pt idx="13">
                  <c:v>3250</c:v>
                </c:pt>
                <c:pt idx="14">
                  <c:v>3500</c:v>
                </c:pt>
                <c:pt idx="15">
                  <c:v>3750</c:v>
                </c:pt>
                <c:pt idx="16">
                  <c:v>4000</c:v>
                </c:pt>
                <c:pt idx="17">
                  <c:v>4250</c:v>
                </c:pt>
                <c:pt idx="18">
                  <c:v>4500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5500</c:v>
                </c:pt>
                <c:pt idx="23">
                  <c:v>5750</c:v>
                </c:pt>
                <c:pt idx="24">
                  <c:v>6000</c:v>
                </c:pt>
                <c:pt idx="25">
                  <c:v>6250</c:v>
                </c:pt>
                <c:pt idx="26">
                  <c:v>6500</c:v>
                </c:pt>
                <c:pt idx="27">
                  <c:v>6750</c:v>
                </c:pt>
                <c:pt idx="28">
                  <c:v>7000</c:v>
                </c:pt>
                <c:pt idx="29">
                  <c:v>7250</c:v>
                </c:pt>
                <c:pt idx="30">
                  <c:v>7500</c:v>
                </c:pt>
                <c:pt idx="31">
                  <c:v>7750</c:v>
                </c:pt>
                <c:pt idx="32">
                  <c:v>8000</c:v>
                </c:pt>
                <c:pt idx="33">
                  <c:v>8250</c:v>
                </c:pt>
                <c:pt idx="34">
                  <c:v>8500</c:v>
                </c:pt>
                <c:pt idx="35">
                  <c:v>8750</c:v>
                </c:pt>
                <c:pt idx="36">
                  <c:v>9000</c:v>
                </c:pt>
                <c:pt idx="37">
                  <c:v>9250</c:v>
                </c:pt>
                <c:pt idx="38">
                  <c:v>9500</c:v>
                </c:pt>
                <c:pt idx="39">
                  <c:v>9750</c:v>
                </c:pt>
                <c:pt idx="40">
                  <c:v>10000</c:v>
                </c:pt>
                <c:pt idx="41">
                  <c:v>10250</c:v>
                </c:pt>
                <c:pt idx="42">
                  <c:v>10500</c:v>
                </c:pt>
                <c:pt idx="43">
                  <c:v>10750</c:v>
                </c:pt>
                <c:pt idx="44">
                  <c:v>11000</c:v>
                </c:pt>
                <c:pt idx="45">
                  <c:v>11250</c:v>
                </c:pt>
                <c:pt idx="46">
                  <c:v>11500</c:v>
                </c:pt>
                <c:pt idx="47">
                  <c:v>11750</c:v>
                </c:pt>
                <c:pt idx="48">
                  <c:v>12000</c:v>
                </c:pt>
                <c:pt idx="49">
                  <c:v>12250</c:v>
                </c:pt>
                <c:pt idx="50">
                  <c:v>12500</c:v>
                </c:pt>
                <c:pt idx="51">
                  <c:v>12750</c:v>
                </c:pt>
                <c:pt idx="52">
                  <c:v>13000</c:v>
                </c:pt>
                <c:pt idx="53">
                  <c:v>13250</c:v>
                </c:pt>
                <c:pt idx="54">
                  <c:v>13500</c:v>
                </c:pt>
                <c:pt idx="55">
                  <c:v>13750</c:v>
                </c:pt>
                <c:pt idx="56">
                  <c:v>14000</c:v>
                </c:pt>
                <c:pt idx="57">
                  <c:v>14500</c:v>
                </c:pt>
                <c:pt idx="58">
                  <c:v>15000</c:v>
                </c:pt>
                <c:pt idx="59">
                  <c:v>15500</c:v>
                </c:pt>
                <c:pt idx="60">
                  <c:v>16000</c:v>
                </c:pt>
                <c:pt idx="61">
                  <c:v>16500</c:v>
                </c:pt>
                <c:pt idx="62">
                  <c:v>17000</c:v>
                </c:pt>
                <c:pt idx="63">
                  <c:v>17500</c:v>
                </c:pt>
                <c:pt idx="64">
                  <c:v>18000</c:v>
                </c:pt>
                <c:pt idx="65">
                  <c:v>18500</c:v>
                </c:pt>
                <c:pt idx="66">
                  <c:v>19000</c:v>
                </c:pt>
                <c:pt idx="67">
                  <c:v>19500</c:v>
                </c:pt>
                <c:pt idx="68">
                  <c:v>20000</c:v>
                </c:pt>
              </c:numCache>
            </c:numRef>
          </c:xVal>
          <c:yVal>
            <c:numRef>
              <c:f>Input!$AF$5:$AF$73</c:f>
              <c:numCache>
                <c:formatCode>0.00</c:formatCode>
                <c:ptCount val="69"/>
                <c:pt idx="0">
                  <c:v>0</c:v>
                </c:pt>
                <c:pt idx="1">
                  <c:v>0.97897190110892895</c:v>
                </c:pt>
                <c:pt idx="2">
                  <c:v>1.9579438022178579</c:v>
                </c:pt>
                <c:pt idx="3">
                  <c:v>2.9369157033267874</c:v>
                </c:pt>
                <c:pt idx="4">
                  <c:v>3.9158876044357158</c:v>
                </c:pt>
                <c:pt idx="5">
                  <c:v>4.8948595055446447</c:v>
                </c:pt>
                <c:pt idx="6">
                  <c:v>5.8738314066535748</c:v>
                </c:pt>
                <c:pt idx="7">
                  <c:v>6.8528033077625023</c:v>
                </c:pt>
                <c:pt idx="8">
                  <c:v>7.8317752088714316</c:v>
                </c:pt>
                <c:pt idx="9">
                  <c:v>8.81074710998036</c:v>
                </c:pt>
                <c:pt idx="10">
                  <c:v>9.7897190110892893</c:v>
                </c:pt>
                <c:pt idx="11">
                  <c:v>10.768690912198219</c:v>
                </c:pt>
                <c:pt idx="12">
                  <c:v>11.74766281330715</c:v>
                </c:pt>
                <c:pt idx="13">
                  <c:v>12.726634714416079</c:v>
                </c:pt>
                <c:pt idx="14">
                  <c:v>13.705606615525005</c:v>
                </c:pt>
                <c:pt idx="15">
                  <c:v>14.684578516633934</c:v>
                </c:pt>
                <c:pt idx="16">
                  <c:v>15.663550417742863</c:v>
                </c:pt>
                <c:pt idx="17">
                  <c:v>16.642522318851793</c:v>
                </c:pt>
                <c:pt idx="18">
                  <c:v>17.62149421996072</c:v>
                </c:pt>
                <c:pt idx="19">
                  <c:v>18.600466121069651</c:v>
                </c:pt>
                <c:pt idx="20">
                  <c:v>19.579438022178579</c:v>
                </c:pt>
                <c:pt idx="21">
                  <c:v>20.55840992328751</c:v>
                </c:pt>
                <c:pt idx="22">
                  <c:v>21.537381824396437</c:v>
                </c:pt>
                <c:pt idx="23">
                  <c:v>22.516353725505368</c:v>
                </c:pt>
                <c:pt idx="24">
                  <c:v>23.495325626614299</c:v>
                </c:pt>
                <c:pt idx="25">
                  <c:v>24.474297527723227</c:v>
                </c:pt>
                <c:pt idx="26">
                  <c:v>25.453269428832158</c:v>
                </c:pt>
                <c:pt idx="27">
                  <c:v>26.432241329941085</c:v>
                </c:pt>
                <c:pt idx="28">
                  <c:v>27.411213231050009</c:v>
                </c:pt>
                <c:pt idx="29">
                  <c:v>28.39018513215894</c:v>
                </c:pt>
                <c:pt idx="30">
                  <c:v>29.369157033267868</c:v>
                </c:pt>
                <c:pt idx="31">
                  <c:v>30.348128934376799</c:v>
                </c:pt>
                <c:pt idx="32">
                  <c:v>31.327100835485727</c:v>
                </c:pt>
                <c:pt idx="33">
                  <c:v>32.306072736594658</c:v>
                </c:pt>
                <c:pt idx="34">
                  <c:v>33.285044637703585</c:v>
                </c:pt>
                <c:pt idx="35">
                  <c:v>34.264016538812513</c:v>
                </c:pt>
                <c:pt idx="36">
                  <c:v>35.24298843992144</c:v>
                </c:pt>
                <c:pt idx="37">
                  <c:v>36.221960341030375</c:v>
                </c:pt>
                <c:pt idx="38">
                  <c:v>37.200932242139302</c:v>
                </c:pt>
                <c:pt idx="39">
                  <c:v>38.17990414324823</c:v>
                </c:pt>
                <c:pt idx="40">
                  <c:v>39.158876044357157</c:v>
                </c:pt>
                <c:pt idx="41">
                  <c:v>40.137847945466092</c:v>
                </c:pt>
                <c:pt idx="42">
                  <c:v>41.116819846575019</c:v>
                </c:pt>
                <c:pt idx="43">
                  <c:v>42.095791747683954</c:v>
                </c:pt>
                <c:pt idx="44">
                  <c:v>43.074763648792874</c:v>
                </c:pt>
                <c:pt idx="45">
                  <c:v>44.053735549901809</c:v>
                </c:pt>
                <c:pt idx="46">
                  <c:v>45.032707451010737</c:v>
                </c:pt>
                <c:pt idx="47">
                  <c:v>46.011679352119671</c:v>
                </c:pt>
                <c:pt idx="48">
                  <c:v>46.990651253228599</c:v>
                </c:pt>
                <c:pt idx="49">
                  <c:v>47.969623154337519</c:v>
                </c:pt>
                <c:pt idx="50">
                  <c:v>48.948595055446454</c:v>
                </c:pt>
                <c:pt idx="51">
                  <c:v>49.927566956555381</c:v>
                </c:pt>
                <c:pt idx="52">
                  <c:v>50.906538857664316</c:v>
                </c:pt>
                <c:pt idx="53">
                  <c:v>51.885510758773236</c:v>
                </c:pt>
                <c:pt idx="54">
                  <c:v>52.864482659882171</c:v>
                </c:pt>
                <c:pt idx="55">
                  <c:v>53.843454560991098</c:v>
                </c:pt>
                <c:pt idx="56">
                  <c:v>54.822426462100019</c:v>
                </c:pt>
                <c:pt idx="57">
                  <c:v>56.780370264317881</c:v>
                </c:pt>
                <c:pt idx="58">
                  <c:v>58.738314066535736</c:v>
                </c:pt>
                <c:pt idx="59">
                  <c:v>60.696257868753598</c:v>
                </c:pt>
                <c:pt idx="60">
                  <c:v>62.654201670971453</c:v>
                </c:pt>
                <c:pt idx="61">
                  <c:v>64.612145473189315</c:v>
                </c:pt>
                <c:pt idx="62">
                  <c:v>66.57008927540717</c:v>
                </c:pt>
                <c:pt idx="63">
                  <c:v>68.528033077625025</c:v>
                </c:pt>
                <c:pt idx="64">
                  <c:v>70.48597687984288</c:v>
                </c:pt>
                <c:pt idx="65">
                  <c:v>72.44392068206075</c:v>
                </c:pt>
                <c:pt idx="66">
                  <c:v>74.401864484278605</c:v>
                </c:pt>
                <c:pt idx="67">
                  <c:v>76.35980828649646</c:v>
                </c:pt>
                <c:pt idx="68">
                  <c:v>78.317752088714315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F3-4513-AB3F-29FFBE60D1D7}"/>
            </c:ext>
          </c:extLst>
        </c:ser>
        <c:ser>
          <c:idx val="6"/>
          <c:order val="6"/>
          <c:tx>
            <c:strRef>
              <c:f>Input!$AH$3</c:f>
              <c:strCache>
                <c:ptCount val="1"/>
                <c:pt idx="0">
                  <c:v>Underflow Rate #2</c:v>
                </c:pt>
              </c:strCache>
            </c:strRef>
          </c:tx>
          <c:spPr>
            <a:ln w="25400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Input!$AB$5:$AB$73</c:f>
              <c:numCache>
                <c:formatCode>#,##0</c:formatCode>
                <c:ptCount val="69"/>
                <c:pt idx="0">
                  <c:v>0</c:v>
                </c:pt>
                <c:pt idx="1">
                  <c:v>250</c:v>
                </c:pt>
                <c:pt idx="2">
                  <c:v>500</c:v>
                </c:pt>
                <c:pt idx="3">
                  <c:v>750</c:v>
                </c:pt>
                <c:pt idx="4">
                  <c:v>1000</c:v>
                </c:pt>
                <c:pt idx="5">
                  <c:v>1250</c:v>
                </c:pt>
                <c:pt idx="6">
                  <c:v>1500</c:v>
                </c:pt>
                <c:pt idx="7">
                  <c:v>1750</c:v>
                </c:pt>
                <c:pt idx="8">
                  <c:v>2000</c:v>
                </c:pt>
                <c:pt idx="9">
                  <c:v>2250</c:v>
                </c:pt>
                <c:pt idx="10">
                  <c:v>2500</c:v>
                </c:pt>
                <c:pt idx="11">
                  <c:v>2750</c:v>
                </c:pt>
                <c:pt idx="12">
                  <c:v>3000</c:v>
                </c:pt>
                <c:pt idx="13">
                  <c:v>3250</c:v>
                </c:pt>
                <c:pt idx="14">
                  <c:v>3500</c:v>
                </c:pt>
                <c:pt idx="15">
                  <c:v>3750</c:v>
                </c:pt>
                <c:pt idx="16">
                  <c:v>4000</c:v>
                </c:pt>
                <c:pt idx="17">
                  <c:v>4250</c:v>
                </c:pt>
                <c:pt idx="18">
                  <c:v>4500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5500</c:v>
                </c:pt>
                <c:pt idx="23">
                  <c:v>5750</c:v>
                </c:pt>
                <c:pt idx="24">
                  <c:v>6000</c:v>
                </c:pt>
                <c:pt idx="25">
                  <c:v>6250</c:v>
                </c:pt>
                <c:pt idx="26">
                  <c:v>6500</c:v>
                </c:pt>
                <c:pt idx="27">
                  <c:v>6750</c:v>
                </c:pt>
                <c:pt idx="28">
                  <c:v>7000</c:v>
                </c:pt>
                <c:pt idx="29">
                  <c:v>7250</c:v>
                </c:pt>
                <c:pt idx="30">
                  <c:v>7500</c:v>
                </c:pt>
                <c:pt idx="31">
                  <c:v>7750</c:v>
                </c:pt>
                <c:pt idx="32">
                  <c:v>8000</c:v>
                </c:pt>
                <c:pt idx="33">
                  <c:v>8250</c:v>
                </c:pt>
                <c:pt idx="34">
                  <c:v>8500</c:v>
                </c:pt>
                <c:pt idx="35">
                  <c:v>8750</c:v>
                </c:pt>
                <c:pt idx="36">
                  <c:v>9000</c:v>
                </c:pt>
                <c:pt idx="37">
                  <c:v>9250</c:v>
                </c:pt>
                <c:pt idx="38">
                  <c:v>9500</c:v>
                </c:pt>
                <c:pt idx="39">
                  <c:v>9750</c:v>
                </c:pt>
                <c:pt idx="40">
                  <c:v>10000</c:v>
                </c:pt>
                <c:pt idx="41">
                  <c:v>10250</c:v>
                </c:pt>
                <c:pt idx="42">
                  <c:v>10500</c:v>
                </c:pt>
                <c:pt idx="43">
                  <c:v>10750</c:v>
                </c:pt>
                <c:pt idx="44">
                  <c:v>11000</c:v>
                </c:pt>
                <c:pt idx="45">
                  <c:v>11250</c:v>
                </c:pt>
                <c:pt idx="46">
                  <c:v>11500</c:v>
                </c:pt>
                <c:pt idx="47">
                  <c:v>11750</c:v>
                </c:pt>
                <c:pt idx="48">
                  <c:v>12000</c:v>
                </c:pt>
                <c:pt idx="49">
                  <c:v>12250</c:v>
                </c:pt>
                <c:pt idx="50">
                  <c:v>12500</c:v>
                </c:pt>
                <c:pt idx="51">
                  <c:v>12750</c:v>
                </c:pt>
                <c:pt idx="52">
                  <c:v>13000</c:v>
                </c:pt>
                <c:pt idx="53">
                  <c:v>13250</c:v>
                </c:pt>
                <c:pt idx="54">
                  <c:v>13500</c:v>
                </c:pt>
                <c:pt idx="55">
                  <c:v>13750</c:v>
                </c:pt>
                <c:pt idx="56">
                  <c:v>14000</c:v>
                </c:pt>
                <c:pt idx="57">
                  <c:v>14500</c:v>
                </c:pt>
                <c:pt idx="58">
                  <c:v>15000</c:v>
                </c:pt>
                <c:pt idx="59">
                  <c:v>15500</c:v>
                </c:pt>
                <c:pt idx="60">
                  <c:v>16000</c:v>
                </c:pt>
                <c:pt idx="61">
                  <c:v>16500</c:v>
                </c:pt>
                <c:pt idx="62">
                  <c:v>17000</c:v>
                </c:pt>
                <c:pt idx="63">
                  <c:v>17500</c:v>
                </c:pt>
                <c:pt idx="64">
                  <c:v>18000</c:v>
                </c:pt>
                <c:pt idx="65">
                  <c:v>18500</c:v>
                </c:pt>
                <c:pt idx="66">
                  <c:v>19000</c:v>
                </c:pt>
                <c:pt idx="67">
                  <c:v>19500</c:v>
                </c:pt>
                <c:pt idx="68">
                  <c:v>20000</c:v>
                </c:pt>
              </c:numCache>
            </c:numRef>
          </c:xVal>
          <c:yVal>
            <c:numRef>
              <c:f>Input!$AH$5:$AH$73</c:f>
              <c:numCache>
                <c:formatCode>0.00</c:formatCode>
                <c:ptCount val="69"/>
                <c:pt idx="0">
                  <c:v>22.712148105727152</c:v>
                </c:pt>
                <c:pt idx="1">
                  <c:v>21.733176204618225</c:v>
                </c:pt>
                <c:pt idx="2">
                  <c:v>20.754204303509294</c:v>
                </c:pt>
                <c:pt idx="3">
                  <c:v>19.775232402400366</c:v>
                </c:pt>
                <c:pt idx="4">
                  <c:v>18.796260501291435</c:v>
                </c:pt>
                <c:pt idx="5">
                  <c:v>17.817288600182508</c:v>
                </c:pt>
                <c:pt idx="6">
                  <c:v>16.83831669907358</c:v>
                </c:pt>
                <c:pt idx="7">
                  <c:v>15.859344797964649</c:v>
                </c:pt>
                <c:pt idx="8">
                  <c:v>14.880372896855722</c:v>
                </c:pt>
                <c:pt idx="9">
                  <c:v>13.901400995746792</c:v>
                </c:pt>
                <c:pt idx="10">
                  <c:v>12.922429094637863</c:v>
                </c:pt>
                <c:pt idx="11">
                  <c:v>11.943457193528934</c:v>
                </c:pt>
                <c:pt idx="12">
                  <c:v>10.964485292420004</c:v>
                </c:pt>
                <c:pt idx="13">
                  <c:v>9.9855133913110752</c:v>
                </c:pt>
                <c:pt idx="14">
                  <c:v>9.0065414902021477</c:v>
                </c:pt>
                <c:pt idx="15">
                  <c:v>8.0275695890932184</c:v>
                </c:pt>
                <c:pt idx="16">
                  <c:v>7.0485976879842891</c:v>
                </c:pt>
                <c:pt idx="17">
                  <c:v>6.0696257868753598</c:v>
                </c:pt>
                <c:pt idx="18">
                  <c:v>5.0906538857664323</c:v>
                </c:pt>
                <c:pt idx="19">
                  <c:v>4.1116819846575012</c:v>
                </c:pt>
                <c:pt idx="20">
                  <c:v>3.1327100835485737</c:v>
                </c:pt>
                <c:pt idx="21">
                  <c:v>2.1537381824396462</c:v>
                </c:pt>
                <c:pt idx="22">
                  <c:v>1.1747662813307151</c:v>
                </c:pt>
                <c:pt idx="23">
                  <c:v>0.19579438022178763</c:v>
                </c:pt>
                <c:pt idx="24">
                  <c:v>-0.78317752088714343</c:v>
                </c:pt>
                <c:pt idx="25">
                  <c:v>-1.7621494219960709</c:v>
                </c:pt>
                <c:pt idx="26">
                  <c:v>-2.741121323105002</c:v>
                </c:pt>
                <c:pt idx="27">
                  <c:v>-3.720093224213926</c:v>
                </c:pt>
                <c:pt idx="28">
                  <c:v>-4.699065125322857</c:v>
                </c:pt>
                <c:pt idx="29">
                  <c:v>-5.6780370264317845</c:v>
                </c:pt>
                <c:pt idx="30">
                  <c:v>-6.6570089275407156</c:v>
                </c:pt>
                <c:pt idx="31">
                  <c:v>-7.6359808286496431</c:v>
                </c:pt>
                <c:pt idx="32">
                  <c:v>-8.6149527297585742</c:v>
                </c:pt>
                <c:pt idx="33">
                  <c:v>-9.5939246308675052</c:v>
                </c:pt>
                <c:pt idx="34">
                  <c:v>-10.572896531976433</c:v>
                </c:pt>
                <c:pt idx="35">
                  <c:v>-11.55186843308536</c:v>
                </c:pt>
                <c:pt idx="36">
                  <c:v>-12.530840334194288</c:v>
                </c:pt>
                <c:pt idx="37">
                  <c:v>-13.509812235303222</c:v>
                </c:pt>
                <c:pt idx="38">
                  <c:v>-14.48878413641215</c:v>
                </c:pt>
                <c:pt idx="39">
                  <c:v>-15.467756037521077</c:v>
                </c:pt>
                <c:pt idx="40">
                  <c:v>-16.446727938630005</c:v>
                </c:pt>
                <c:pt idx="41">
                  <c:v>-17.425699839738932</c:v>
                </c:pt>
                <c:pt idx="42">
                  <c:v>-18.40467174084786</c:v>
                </c:pt>
                <c:pt idx="43">
                  <c:v>-19.383643641956795</c:v>
                </c:pt>
                <c:pt idx="44">
                  <c:v>-20.362615543065722</c:v>
                </c:pt>
                <c:pt idx="45">
                  <c:v>-21.341587444174642</c:v>
                </c:pt>
                <c:pt idx="46">
                  <c:v>-22.320559345283577</c:v>
                </c:pt>
                <c:pt idx="47">
                  <c:v>-23.299531246392505</c:v>
                </c:pt>
                <c:pt idx="48">
                  <c:v>-24.278503147501439</c:v>
                </c:pt>
                <c:pt idx="49">
                  <c:v>-25.257475048610367</c:v>
                </c:pt>
                <c:pt idx="50">
                  <c:v>-26.236446949719294</c:v>
                </c:pt>
                <c:pt idx="51">
                  <c:v>-27.215418850828222</c:v>
                </c:pt>
                <c:pt idx="52">
                  <c:v>-28.194390751937156</c:v>
                </c:pt>
                <c:pt idx="53">
                  <c:v>-29.173362653046084</c:v>
                </c:pt>
                <c:pt idx="54">
                  <c:v>-30.152334554155004</c:v>
                </c:pt>
                <c:pt idx="55">
                  <c:v>-31.131306455263939</c:v>
                </c:pt>
                <c:pt idx="56">
                  <c:v>-32.110278356372866</c:v>
                </c:pt>
                <c:pt idx="57">
                  <c:v>-34.068222158590721</c:v>
                </c:pt>
                <c:pt idx="58">
                  <c:v>-36.026165960808584</c:v>
                </c:pt>
                <c:pt idx="59">
                  <c:v>-37.984109763026439</c:v>
                </c:pt>
                <c:pt idx="60">
                  <c:v>-39.942053565244301</c:v>
                </c:pt>
                <c:pt idx="61">
                  <c:v>-41.899997367462163</c:v>
                </c:pt>
                <c:pt idx="62">
                  <c:v>-43.857941169680018</c:v>
                </c:pt>
                <c:pt idx="63">
                  <c:v>-45.815884971897873</c:v>
                </c:pt>
                <c:pt idx="64">
                  <c:v>-47.773828774115728</c:v>
                </c:pt>
                <c:pt idx="65">
                  <c:v>-49.731772576333597</c:v>
                </c:pt>
                <c:pt idx="66">
                  <c:v>-51.689716378551452</c:v>
                </c:pt>
                <c:pt idx="67">
                  <c:v>-53.647660180769307</c:v>
                </c:pt>
                <c:pt idx="68">
                  <c:v>-55.605603982987162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F3-4513-AB3F-29FFBE60D1D7}"/>
            </c:ext>
          </c:extLst>
        </c:ser>
        <c:ser>
          <c:idx val="7"/>
          <c:order val="7"/>
          <c:tx>
            <c:strRef>
              <c:f>Input!$AD$3</c:f>
              <c:strCache>
                <c:ptCount val="1"/>
                <c:pt idx="0">
                  <c:v>Gravity Flux #2</c:v>
                </c:pt>
              </c:strCache>
            </c:strRef>
          </c:tx>
          <c:spPr>
            <a:ln w="2540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Input!$AB$5:$AB$73</c:f>
              <c:numCache>
                <c:formatCode>#,##0</c:formatCode>
                <c:ptCount val="69"/>
                <c:pt idx="0">
                  <c:v>0</c:v>
                </c:pt>
                <c:pt idx="1">
                  <c:v>250</c:v>
                </c:pt>
                <c:pt idx="2">
                  <c:v>500</c:v>
                </c:pt>
                <c:pt idx="3">
                  <c:v>750</c:v>
                </c:pt>
                <c:pt idx="4">
                  <c:v>1000</c:v>
                </c:pt>
                <c:pt idx="5">
                  <c:v>1250</c:v>
                </c:pt>
                <c:pt idx="6">
                  <c:v>1500</c:v>
                </c:pt>
                <c:pt idx="7">
                  <c:v>1750</c:v>
                </c:pt>
                <c:pt idx="8">
                  <c:v>2000</c:v>
                </c:pt>
                <c:pt idx="9">
                  <c:v>2250</c:v>
                </c:pt>
                <c:pt idx="10">
                  <c:v>2500</c:v>
                </c:pt>
                <c:pt idx="11">
                  <c:v>2750</c:v>
                </c:pt>
                <c:pt idx="12">
                  <c:v>3000</c:v>
                </c:pt>
                <c:pt idx="13">
                  <c:v>3250</c:v>
                </c:pt>
                <c:pt idx="14">
                  <c:v>3500</c:v>
                </c:pt>
                <c:pt idx="15">
                  <c:v>3750</c:v>
                </c:pt>
                <c:pt idx="16">
                  <c:v>4000</c:v>
                </c:pt>
                <c:pt idx="17">
                  <c:v>4250</c:v>
                </c:pt>
                <c:pt idx="18">
                  <c:v>4500</c:v>
                </c:pt>
                <c:pt idx="19">
                  <c:v>4750</c:v>
                </c:pt>
                <c:pt idx="20">
                  <c:v>5000</c:v>
                </c:pt>
                <c:pt idx="21">
                  <c:v>5250</c:v>
                </c:pt>
                <c:pt idx="22">
                  <c:v>5500</c:v>
                </c:pt>
                <c:pt idx="23">
                  <c:v>5750</c:v>
                </c:pt>
                <c:pt idx="24">
                  <c:v>6000</c:v>
                </c:pt>
                <c:pt idx="25">
                  <c:v>6250</c:v>
                </c:pt>
                <c:pt idx="26">
                  <c:v>6500</c:v>
                </c:pt>
                <c:pt idx="27">
                  <c:v>6750</c:v>
                </c:pt>
                <c:pt idx="28">
                  <c:v>7000</c:v>
                </c:pt>
                <c:pt idx="29">
                  <c:v>7250</c:v>
                </c:pt>
                <c:pt idx="30">
                  <c:v>7500</c:v>
                </c:pt>
                <c:pt idx="31">
                  <c:v>7750</c:v>
                </c:pt>
                <c:pt idx="32">
                  <c:v>8000</c:v>
                </c:pt>
                <c:pt idx="33">
                  <c:v>8250</c:v>
                </c:pt>
                <c:pt idx="34">
                  <c:v>8500</c:v>
                </c:pt>
                <c:pt idx="35">
                  <c:v>8750</c:v>
                </c:pt>
                <c:pt idx="36">
                  <c:v>9000</c:v>
                </c:pt>
                <c:pt idx="37">
                  <c:v>9250</c:v>
                </c:pt>
                <c:pt idx="38">
                  <c:v>9500</c:v>
                </c:pt>
                <c:pt idx="39">
                  <c:v>9750</c:v>
                </c:pt>
                <c:pt idx="40">
                  <c:v>10000</c:v>
                </c:pt>
                <c:pt idx="41">
                  <c:v>10250</c:v>
                </c:pt>
                <c:pt idx="42">
                  <c:v>10500</c:v>
                </c:pt>
                <c:pt idx="43">
                  <c:v>10750</c:v>
                </c:pt>
                <c:pt idx="44">
                  <c:v>11000</c:v>
                </c:pt>
                <c:pt idx="45">
                  <c:v>11250</c:v>
                </c:pt>
                <c:pt idx="46">
                  <c:v>11500</c:v>
                </c:pt>
                <c:pt idx="47">
                  <c:v>11750</c:v>
                </c:pt>
                <c:pt idx="48">
                  <c:v>12000</c:v>
                </c:pt>
                <c:pt idx="49">
                  <c:v>12250</c:v>
                </c:pt>
                <c:pt idx="50">
                  <c:v>12500</c:v>
                </c:pt>
                <c:pt idx="51">
                  <c:v>12750</c:v>
                </c:pt>
                <c:pt idx="52">
                  <c:v>13000</c:v>
                </c:pt>
                <c:pt idx="53">
                  <c:v>13250</c:v>
                </c:pt>
                <c:pt idx="54">
                  <c:v>13500</c:v>
                </c:pt>
                <c:pt idx="55">
                  <c:v>13750</c:v>
                </c:pt>
                <c:pt idx="56">
                  <c:v>14000</c:v>
                </c:pt>
                <c:pt idx="57">
                  <c:v>14500</c:v>
                </c:pt>
                <c:pt idx="58">
                  <c:v>15000</c:v>
                </c:pt>
                <c:pt idx="59">
                  <c:v>15500</c:v>
                </c:pt>
                <c:pt idx="60">
                  <c:v>16000</c:v>
                </c:pt>
                <c:pt idx="61">
                  <c:v>16500</c:v>
                </c:pt>
                <c:pt idx="62">
                  <c:v>17000</c:v>
                </c:pt>
                <c:pt idx="63">
                  <c:v>17500</c:v>
                </c:pt>
                <c:pt idx="64">
                  <c:v>18000</c:v>
                </c:pt>
                <c:pt idx="65">
                  <c:v>18500</c:v>
                </c:pt>
                <c:pt idx="66">
                  <c:v>19000</c:v>
                </c:pt>
                <c:pt idx="67">
                  <c:v>19500</c:v>
                </c:pt>
                <c:pt idx="68">
                  <c:v>20000</c:v>
                </c:pt>
              </c:numCache>
            </c:numRef>
          </c:xVal>
          <c:yVal>
            <c:numRef>
              <c:f>Input!$AD$5:$AD$73</c:f>
              <c:numCache>
                <c:formatCode>0.00</c:formatCode>
                <c:ptCount val="69"/>
                <c:pt idx="0">
                  <c:v>0</c:v>
                </c:pt>
                <c:pt idx="1">
                  <c:v>7.3502180893152547</c:v>
                </c:pt>
                <c:pt idx="2">
                  <c:v>13.559361106469288</c:v>
                </c:pt>
                <c:pt idx="3">
                  <c:v>18.760287590945488</c:v>
                </c:pt>
                <c:pt idx="4">
                  <c:v>23.072105781153528</c:v>
                </c:pt>
                <c:pt idx="5">
                  <c:v>26.601507769212226</c:v>
                </c:pt>
                <c:pt idx="6">
                  <c:v>29.443979384255215</c:v>
                </c:pt>
                <c:pt idx="7">
                  <c:v>31.684897058138727</c:v>
                </c:pt>
                <c:pt idx="8">
                  <c:v>33.40052192909117</c:v>
                </c:pt>
                <c:pt idx="9">
                  <c:v>34.658900527684551</c:v>
                </c:pt>
                <c:pt idx="10">
                  <c:v>35.520680558008564</c:v>
                </c:pt>
                <c:pt idx="11">
                  <c:v>36.039849528212805</c:v>
                </c:pt>
                <c:pt idx="12">
                  <c:v>36.264403292361429</c:v>
                </c:pt>
                <c:pt idx="13">
                  <c:v>36.236950934066456</c:v>
                </c:pt>
                <c:pt idx="14">
                  <c:v>35.995261846371605</c:v>
                </c:pt>
                <c:pt idx="15">
                  <c:v>35.572760337038936</c:v>
                </c:pt>
                <c:pt idx="16">
                  <c:v>34.998972609349906</c:v>
                </c:pt>
                <c:pt idx="17">
                  <c:v>34.299930531750164</c:v>
                </c:pt>
                <c:pt idx="18">
                  <c:v>33.498536211470892</c:v>
                </c:pt>
                <c:pt idx="19">
                  <c:v>32.614891024289264</c:v>
                </c:pt>
                <c:pt idx="20">
                  <c:v>31.666592421776755</c:v>
                </c:pt>
                <c:pt idx="21">
                  <c:v>30.669001535923709</c:v>
                </c:pt>
                <c:pt idx="22">
                  <c:v>29.635484326354355</c:v>
                </c:pt>
                <c:pt idx="23">
                  <c:v>28.577628765120348</c:v>
                </c:pt>
                <c:pt idx="24">
                  <c:v>27.505440326139134</c:v>
                </c:pt>
                <c:pt idx="25">
                  <c:v>26.427517838773081</c:v>
                </c:pt>
                <c:pt idx="26">
                  <c:v>25.351211576039407</c:v>
                </c:pt>
                <c:pt idx="27">
                  <c:v>24.282765275867973</c:v>
                </c:pt>
                <c:pt idx="28">
                  <c:v>23.227443637194636</c:v>
                </c:pt>
                <c:pt idx="29">
                  <c:v>22.189646690130981</c:v>
                </c:pt>
                <c:pt idx="30">
                  <c:v>21.173012309743918</c:v>
                </c:pt>
                <c:pt idx="31">
                  <c:v>20.180508024977442</c:v>
                </c:pt>
                <c:pt idx="32">
                  <c:v>19.214513166917367</c:v>
                </c:pt>
                <c:pt idx="33">
                  <c:v>18.276892302992376</c:v>
                </c:pt>
                <c:pt idx="34">
                  <c:v>17.369060814959205</c:v>
                </c:pt>
                <c:pt idx="35">
                  <c:v>16.492043397847727</c:v>
                </c:pt>
                <c:pt idx="36">
                  <c:v>15.646526183725113</c:v>
                </c:pt>
                <c:pt idx="37">
                  <c:v>14.832903127520682</c:v>
                </c:pt>
                <c:pt idx="38">
                  <c:v>14.051317231636714</c:v>
                </c:pt>
                <c:pt idx="39">
                  <c:v>13.301697131109734</c:v>
                </c:pt>
                <c:pt idx="40">
                  <c:v>12.583789511182955</c:v>
                </c:pt>
                <c:pt idx="41">
                  <c:v>11.897187783850621</c:v>
                </c:pt>
                <c:pt idx="42">
                  <c:v>11.241357408824573</c:v>
                </c:pt>
                <c:pt idx="43">
                  <c:v>10.615658207074819</c:v>
                </c:pt>
                <c:pt idx="44">
                  <c:v>10.019363981265339</c:v>
                </c:pt>
                <c:pt idx="45">
                  <c:v>9.4516797267302692</c:v>
                </c:pt>
                <c:pt idx="46">
                  <c:v>8.9117566888277437</c:v>
                </c:pt>
                <c:pt idx="47">
                  <c:v>8.3987054973090061</c:v>
                </c:pt>
                <c:pt idx="48">
                  <c:v>7.9116075855111756</c:v>
                </c:pt>
                <c:pt idx="49">
                  <c:v>7.4495250815074394</c:v>
                </c:pt>
                <c:pt idx="50">
                  <c:v>7.0115093396313126</c:v>
                </c:pt>
                <c:pt idx="51">
                  <c:v>6.5966082638526045</c:v>
                </c:pt>
                <c:pt idx="52">
                  <c:v>6.2038725591588193</c:v>
                </c:pt>
                <c:pt idx="53">
                  <c:v>5.832361033237909</c:v>
                </c:pt>
                <c:pt idx="54">
                  <c:v>5.4811450582316272</c:v>
                </c:pt>
                <c:pt idx="55">
                  <c:v>5.1493122910097435</c:v>
                </c:pt>
                <c:pt idx="56">
                  <c:v>4.8359697401924118</c:v>
                </c:pt>
                <c:pt idx="57">
                  <c:v>4.2612945340308954</c:v>
                </c:pt>
                <c:pt idx="58">
                  <c:v>3.7504451778223555</c:v>
                </c:pt>
                <c:pt idx="59">
                  <c:v>3.2971694891329251</c:v>
                </c:pt>
                <c:pt idx="60">
                  <c:v>2.8956600111299</c:v>
                </c:pt>
                <c:pt idx="61">
                  <c:v>2.5405605021562994</c:v>
                </c:pt>
                <c:pt idx="62">
                  <c:v>2.2269605862371229</c:v>
                </c:pt>
                <c:pt idx="63">
                  <c:v>1.950381953236519</c:v>
                </c:pt>
                <c:pt idx="64">
                  <c:v>1.7067587496763417</c:v>
                </c:pt>
                <c:pt idx="65">
                  <c:v>1.4924142012079926</c:v>
                </c:pt>
                <c:pt idx="66">
                  <c:v>1.304035027973498</c:v>
                </c:pt>
                <c:pt idx="67">
                  <c:v>1.1386448320677292</c:v>
                </c:pt>
                <c:pt idx="68">
                  <c:v>0.99357733353699529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F3-4513-AB3F-29FFBE60D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0663472"/>
        <c:axId val="1270668256"/>
      </c:scatterChart>
      <c:valAx>
        <c:axId val="1270663472"/>
        <c:scaling>
          <c:orientation val="minMax"/>
          <c:max val="1000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>
                    <a:solidFill>
                      <a:schemeClr val="tx1"/>
                    </a:solidFill>
                  </a:rPr>
                  <a:t>Solids Concentration</a:t>
                </a:r>
                <a:r>
                  <a:rPr lang="en-US" sz="1800">
                    <a:solidFill>
                      <a:schemeClr val="tx1"/>
                    </a:solidFill>
                  </a:rPr>
                  <a:t>, mg/L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0668256"/>
        <c:crosses val="autoZero"/>
        <c:crossBetween val="midCat"/>
      </c:valAx>
      <c:valAx>
        <c:axId val="1270668256"/>
        <c:scaling>
          <c:orientation val="minMax"/>
          <c:max val="4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1">
                    <a:solidFill>
                      <a:schemeClr val="tx1"/>
                    </a:solidFill>
                  </a:rPr>
                  <a:t>Solids Flux</a:t>
                </a:r>
                <a:r>
                  <a:rPr lang="en-US" sz="1800">
                    <a:solidFill>
                      <a:schemeClr val="tx1"/>
                    </a:solidFill>
                  </a:rPr>
                  <a:t>, lbs / sf -</a:t>
                </a:r>
                <a:r>
                  <a:rPr lang="en-US" sz="1800" baseline="0">
                    <a:solidFill>
                      <a:schemeClr val="tx1"/>
                    </a:solidFill>
                  </a:rPr>
                  <a:t> d</a:t>
                </a:r>
                <a:endParaRPr lang="en-US" sz="18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0663472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38</xdr:col>
      <xdr:colOff>524410</xdr:colOff>
      <xdr:row>0</xdr:row>
      <xdr:rowOff>53512</xdr:rowOff>
    </xdr:from>
    <xdr:to>
      <xdr:col>39</xdr:col>
      <xdr:colOff>123907</xdr:colOff>
      <xdr:row>1</xdr:row>
      <xdr:rowOff>5004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474C8C-DB0A-4F84-B4DD-BF40AA375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74494" y="53512"/>
          <a:ext cx="209524" cy="21904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24</xdr:row>
      <xdr:rowOff>254000</xdr:rowOff>
    </xdr:from>
    <xdr:to>
      <xdr:col>6</xdr:col>
      <xdr:colOff>620302</xdr:colOff>
      <xdr:row>43</xdr:row>
      <xdr:rowOff>50801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85E33AC-9A75-4AA3-A118-B0491A5A5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nick.landes@frees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N200"/>
  <sheetViews>
    <sheetView zoomScale="110" zoomScaleNormal="110" zoomScalePageLayoutView="89" workbookViewId="0">
      <selection activeCell="AM15" sqref="AM15"/>
    </sheetView>
  </sheetViews>
  <sheetFormatPr defaultColWidth="8.85546875" defaultRowHeight="15" outlineLevelCol="1" x14ac:dyDescent="0.25"/>
  <cols>
    <col min="1" max="1" width="8.85546875" style="8"/>
    <col min="2" max="2" width="40.42578125" style="7" customWidth="1"/>
    <col min="3" max="3" width="11" style="7" customWidth="1"/>
    <col min="4" max="4" width="21.85546875" style="7" customWidth="1"/>
    <col min="5" max="5" width="11" style="7" customWidth="1"/>
    <col min="6" max="6" width="21.85546875" style="7" customWidth="1"/>
    <col min="7" max="7" width="11.5703125" style="7" customWidth="1"/>
    <col min="8" max="8" width="5.42578125" style="7" customWidth="1"/>
    <col min="9" max="11" width="16.7109375" style="7" hidden="1" customWidth="1" outlineLevel="1"/>
    <col min="12" max="12" width="9.140625" style="7" hidden="1" customWidth="1" outlineLevel="1"/>
    <col min="13" max="13" width="30.28515625" style="7" hidden="1" customWidth="1" outlineLevel="1"/>
    <col min="14" max="24" width="22.42578125" style="7" hidden="1" customWidth="1" outlineLevel="1"/>
    <col min="25" max="28" width="9.140625" style="7" hidden="1" customWidth="1" outlineLevel="1"/>
    <col min="29" max="34" width="16.85546875" style="7" hidden="1" customWidth="1" outlineLevel="1"/>
    <col min="35" max="38" width="9.140625" style="7" hidden="1" customWidth="1" outlineLevel="1"/>
    <col min="39" max="39" width="8.85546875" style="7" collapsed="1"/>
    <col min="40" max="16384" width="8.85546875" style="7"/>
  </cols>
  <sheetData>
    <row r="1" spans="1:40" ht="21" x14ac:dyDescent="0.35">
      <c r="A1" s="5">
        <v>0</v>
      </c>
      <c r="B1" s="6" t="s">
        <v>0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9" t="s">
        <v>1</v>
      </c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40" t="s">
        <v>2</v>
      </c>
      <c r="AN1" s="40" t="s">
        <v>3</v>
      </c>
    </row>
    <row r="2" spans="1:40" ht="15.75" thickBot="1" x14ac:dyDescent="0.3">
      <c r="A2" s="41"/>
      <c r="B2" s="1" t="s">
        <v>4</v>
      </c>
      <c r="C2" s="1" t="s">
        <v>5</v>
      </c>
      <c r="D2" s="1" t="s">
        <v>6</v>
      </c>
      <c r="E2" s="40"/>
      <c r="F2" s="1"/>
      <c r="G2" s="40"/>
      <c r="H2" s="40"/>
      <c r="I2" s="9" t="s">
        <v>7</v>
      </c>
      <c r="J2" s="9" t="s">
        <v>8</v>
      </c>
      <c r="K2" s="9" t="s">
        <v>9</v>
      </c>
      <c r="L2" s="38"/>
      <c r="M2" s="39" t="s">
        <v>10</v>
      </c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9"/>
      <c r="AC2" s="38"/>
      <c r="AD2" s="38"/>
      <c r="AE2" s="38"/>
      <c r="AF2" s="38"/>
      <c r="AG2" s="38"/>
      <c r="AH2" s="38"/>
      <c r="AI2" s="38"/>
      <c r="AJ2" s="39"/>
      <c r="AK2" s="38"/>
      <c r="AL2" s="38"/>
      <c r="AM2" s="40"/>
      <c r="AN2" s="40"/>
    </row>
    <row r="3" spans="1:40" ht="15" customHeight="1" x14ac:dyDescent="0.25">
      <c r="A3" s="41"/>
      <c r="B3" s="40" t="s">
        <v>11</v>
      </c>
      <c r="C3" s="40" t="s">
        <v>12</v>
      </c>
      <c r="D3" s="42">
        <v>95</v>
      </c>
      <c r="E3" s="40"/>
      <c r="F3" s="11">
        <f>D3</f>
        <v>95</v>
      </c>
      <c r="G3" s="40"/>
      <c r="H3" s="40"/>
      <c r="I3" s="38" t="s">
        <v>13</v>
      </c>
      <c r="J3" s="43">
        <f>PI()*0.25*(D3/3.28)^2</f>
        <v>658.8543300734284</v>
      </c>
      <c r="K3" s="43">
        <f>PI()*0.25*(F3/3.28)^2</f>
        <v>658.8543300734284</v>
      </c>
      <c r="L3" s="38"/>
      <c r="M3" s="10" t="s">
        <v>14</v>
      </c>
      <c r="N3" s="44"/>
      <c r="O3" s="38"/>
      <c r="P3" s="103" t="s">
        <v>175</v>
      </c>
      <c r="Q3" s="103"/>
      <c r="R3" s="103"/>
      <c r="S3" s="103"/>
      <c r="T3" s="103"/>
      <c r="U3" s="103"/>
      <c r="V3" s="103"/>
      <c r="W3" s="103"/>
      <c r="X3" s="103"/>
      <c r="Y3" s="103"/>
      <c r="Z3" s="38"/>
      <c r="AA3" s="45" t="s">
        <v>15</v>
      </c>
      <c r="AB3" s="46"/>
      <c r="AC3" s="47" t="s">
        <v>16</v>
      </c>
      <c r="AD3" s="47" t="s">
        <v>17</v>
      </c>
      <c r="AE3" s="46" t="s">
        <v>18</v>
      </c>
      <c r="AF3" s="46" t="s">
        <v>19</v>
      </c>
      <c r="AG3" s="46" t="s">
        <v>20</v>
      </c>
      <c r="AH3" s="48" t="s">
        <v>21</v>
      </c>
      <c r="AI3" s="38"/>
      <c r="AJ3" s="45" t="s">
        <v>22</v>
      </c>
      <c r="AK3" s="49"/>
      <c r="AL3" s="38"/>
      <c r="AM3" s="40"/>
      <c r="AN3" s="40"/>
    </row>
    <row r="4" spans="1:40" ht="18.75" customHeight="1" x14ac:dyDescent="0.25">
      <c r="A4" s="41"/>
      <c r="B4" s="40" t="s">
        <v>23</v>
      </c>
      <c r="C4" s="40" t="s">
        <v>24</v>
      </c>
      <c r="D4" s="50">
        <v>1</v>
      </c>
      <c r="E4" s="40"/>
      <c r="F4" s="12">
        <f>D4</f>
        <v>1</v>
      </c>
      <c r="G4" s="40"/>
      <c r="H4" s="40"/>
      <c r="I4" s="38" t="s">
        <v>25</v>
      </c>
      <c r="J4" s="51">
        <f>$M$52*D4</f>
        <v>3788.5835654508578</v>
      </c>
      <c r="K4" s="51">
        <f>$M$52*F4</f>
        <v>3788.5835654508578</v>
      </c>
      <c r="L4" s="38"/>
      <c r="M4" s="103" t="s">
        <v>26</v>
      </c>
      <c r="N4" s="44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52" t="s">
        <v>27</v>
      </c>
      <c r="AB4" s="39" t="s">
        <v>28</v>
      </c>
      <c r="AC4" s="53" t="s">
        <v>29</v>
      </c>
      <c r="AD4" s="53" t="s">
        <v>29</v>
      </c>
      <c r="AE4" s="53" t="s">
        <v>29</v>
      </c>
      <c r="AF4" s="53" t="s">
        <v>29</v>
      </c>
      <c r="AG4" s="53" t="s">
        <v>29</v>
      </c>
      <c r="AH4" s="54" t="s">
        <v>29</v>
      </c>
      <c r="AI4" s="38"/>
      <c r="AJ4" s="55" t="s">
        <v>30</v>
      </c>
      <c r="AK4" s="54" t="s">
        <v>31</v>
      </c>
      <c r="AL4" s="38"/>
      <c r="AM4" s="40"/>
      <c r="AN4" s="40"/>
    </row>
    <row r="5" spans="1:40" x14ac:dyDescent="0.25">
      <c r="A5" s="41"/>
      <c r="B5" s="40"/>
      <c r="C5" s="40"/>
      <c r="D5" s="40"/>
      <c r="E5" s="40"/>
      <c r="F5" s="40"/>
      <c r="G5" s="40"/>
      <c r="H5" s="40"/>
      <c r="I5" s="38"/>
      <c r="J5" s="38"/>
      <c r="K5" s="38"/>
      <c r="L5" s="38"/>
      <c r="M5" s="38" t="s">
        <v>32</v>
      </c>
      <c r="N5" s="44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56">
        <v>0</v>
      </c>
      <c r="AB5" s="51">
        <f>AA5*1000</f>
        <v>0</v>
      </c>
      <c r="AC5" s="44">
        <f t="shared" ref="AC5:AC36" si="0">($AA5*EXP(N$30)*EXP(-N$33*J$14-N$31*$AA5-N$32*J$14*$AA5))*$M$50</f>
        <v>0</v>
      </c>
      <c r="AD5" s="44">
        <f t="shared" ref="AD5:AD36" si="1">($AA5*EXP(O$30)*EXP(-O$33*K$14-O$31*$AA5-O$32*K$14*$AA5))*$M$50</f>
        <v>0</v>
      </c>
      <c r="AE5" s="44">
        <f t="shared" ref="AE5:AE36" si="2">(J$10*$AA5/J$3)*$M$50</f>
        <v>0</v>
      </c>
      <c r="AF5" s="44">
        <f t="shared" ref="AF5:AF36" si="3">(K$10*$AA5/K$3)*$M$50</f>
        <v>0</v>
      </c>
      <c r="AG5" s="44">
        <f>((1+J18)*J10*J12)/J3*$M$50</f>
        <v>31.327100835485727</v>
      </c>
      <c r="AH5" s="57">
        <f>((1+K18)*K10*K12)/K3*$M$50</f>
        <v>22.712148105727152</v>
      </c>
      <c r="AI5" s="38"/>
      <c r="AJ5" s="56">
        <f t="shared" ref="AJ5:AJ36" si="4">IF($AB5&gt;D$12,IF(AC5&lt;0.95*AG5,1,0),0)</f>
        <v>0</v>
      </c>
      <c r="AK5" s="58">
        <f t="shared" ref="AK5:AK36" si="5">IF($AB5&gt;F$12,IF(AD5&lt;0.95*AH5,1,0),0)</f>
        <v>0</v>
      </c>
      <c r="AL5" s="38"/>
      <c r="AM5" s="40"/>
      <c r="AN5" s="40"/>
    </row>
    <row r="6" spans="1:40" ht="21" x14ac:dyDescent="0.35">
      <c r="A6" s="5">
        <v>1</v>
      </c>
      <c r="B6" s="6" t="s">
        <v>33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103" t="s">
        <v>34</v>
      </c>
      <c r="N6" s="44">
        <v>1.871</v>
      </c>
      <c r="O6" s="38" t="s">
        <v>35</v>
      </c>
      <c r="P6" s="103" t="s">
        <v>174</v>
      </c>
      <c r="Q6" s="103"/>
      <c r="R6" s="103"/>
      <c r="S6" s="103"/>
      <c r="T6" s="103"/>
      <c r="U6" s="103"/>
      <c r="V6" s="103"/>
      <c r="W6" s="103"/>
      <c r="X6" s="103"/>
      <c r="Y6" s="103"/>
      <c r="Z6" s="38"/>
      <c r="AA6" s="56">
        <v>0.25</v>
      </c>
      <c r="AB6" s="51">
        <f t="shared" ref="AB6" si="6">AA6*1000</f>
        <v>250</v>
      </c>
      <c r="AC6" s="44">
        <f t="shared" si="0"/>
        <v>7.3502180893152547</v>
      </c>
      <c r="AD6" s="44">
        <f t="shared" si="1"/>
        <v>7.3502180893152547</v>
      </c>
      <c r="AE6" s="44">
        <f t="shared" si="2"/>
        <v>0.97897190110892895</v>
      </c>
      <c r="AF6" s="44">
        <f t="shared" si="3"/>
        <v>0.97897190110892895</v>
      </c>
      <c r="AG6" s="44">
        <f t="shared" ref="AG6:AG37" si="7">$J$20*AA6*$M$50+$AG$5</f>
        <v>30.348128934376799</v>
      </c>
      <c r="AH6" s="57">
        <f t="shared" ref="AH6:AH37" si="8">$K$20*AA6*$M$50+$AH$5</f>
        <v>21.733176204618225</v>
      </c>
      <c r="AI6" s="38"/>
      <c r="AJ6" s="56">
        <f t="shared" si="4"/>
        <v>0</v>
      </c>
      <c r="AK6" s="58">
        <f t="shared" si="5"/>
        <v>0</v>
      </c>
      <c r="AL6" s="38"/>
      <c r="AM6" s="40"/>
      <c r="AN6" s="40"/>
    </row>
    <row r="7" spans="1:40" x14ac:dyDescent="0.25">
      <c r="A7" s="41"/>
      <c r="B7" s="1" t="s">
        <v>4</v>
      </c>
      <c r="C7" s="1" t="s">
        <v>5</v>
      </c>
      <c r="D7" s="1" t="s">
        <v>6</v>
      </c>
      <c r="E7" s="40"/>
      <c r="F7" s="1" t="s">
        <v>36</v>
      </c>
      <c r="G7" s="40"/>
      <c r="H7" s="40"/>
      <c r="I7" s="9" t="s">
        <v>7</v>
      </c>
      <c r="J7" s="9" t="s">
        <v>8</v>
      </c>
      <c r="K7" s="9" t="s">
        <v>9</v>
      </c>
      <c r="L7" s="38"/>
      <c r="M7" s="38" t="s">
        <v>37</v>
      </c>
      <c r="N7" s="59">
        <v>0.1646</v>
      </c>
      <c r="O7" s="38" t="s">
        <v>38</v>
      </c>
      <c r="P7" s="104" t="s">
        <v>176</v>
      </c>
      <c r="Q7" s="104"/>
      <c r="R7" s="104"/>
      <c r="S7" s="104"/>
      <c r="T7" s="104"/>
      <c r="U7" s="104"/>
      <c r="V7" s="104"/>
      <c r="W7" s="104"/>
      <c r="X7" s="104"/>
      <c r="Y7" s="104"/>
      <c r="Z7" s="38"/>
      <c r="AA7" s="56">
        <v>0.5</v>
      </c>
      <c r="AB7" s="51">
        <f t="shared" ref="AB7:AB35" si="9">AA7*1000</f>
        <v>500</v>
      </c>
      <c r="AC7" s="44">
        <f t="shared" si="0"/>
        <v>13.559361106469288</v>
      </c>
      <c r="AD7" s="44">
        <f t="shared" si="1"/>
        <v>13.559361106469288</v>
      </c>
      <c r="AE7" s="44">
        <f t="shared" si="2"/>
        <v>1.9579438022178579</v>
      </c>
      <c r="AF7" s="44">
        <f t="shared" si="3"/>
        <v>1.9579438022178579</v>
      </c>
      <c r="AG7" s="44">
        <f t="shared" si="7"/>
        <v>29.369157033267868</v>
      </c>
      <c r="AH7" s="57">
        <f t="shared" si="8"/>
        <v>20.754204303509294</v>
      </c>
      <c r="AI7" s="38"/>
      <c r="AJ7" s="56">
        <f t="shared" si="4"/>
        <v>0</v>
      </c>
      <c r="AK7" s="58">
        <f t="shared" si="5"/>
        <v>0</v>
      </c>
      <c r="AL7" s="38"/>
      <c r="AM7" s="40"/>
      <c r="AN7" s="40"/>
    </row>
    <row r="8" spans="1:40" x14ac:dyDescent="0.25">
      <c r="A8" s="41"/>
      <c r="B8" s="40" t="s">
        <v>39</v>
      </c>
      <c r="C8" s="40" t="s">
        <v>40</v>
      </c>
      <c r="D8" s="42">
        <v>3</v>
      </c>
      <c r="E8" s="40"/>
      <c r="F8" s="42">
        <v>3</v>
      </c>
      <c r="G8" s="40"/>
      <c r="H8" s="40"/>
      <c r="I8" s="9"/>
      <c r="J8" s="9"/>
      <c r="K8" s="9"/>
      <c r="L8" s="38"/>
      <c r="M8" s="38" t="s">
        <v>41</v>
      </c>
      <c r="N8" s="60">
        <v>1.586E-3</v>
      </c>
      <c r="O8" s="38" t="s">
        <v>42</v>
      </c>
      <c r="P8" s="104" t="s">
        <v>177</v>
      </c>
      <c r="Q8" s="104"/>
      <c r="R8" s="104"/>
      <c r="S8" s="104"/>
      <c r="T8" s="104"/>
      <c r="U8" s="104"/>
      <c r="V8" s="104"/>
      <c r="W8" s="104"/>
      <c r="X8" s="104"/>
      <c r="Y8" s="104"/>
      <c r="Z8" s="44"/>
      <c r="AA8" s="56">
        <v>0.75</v>
      </c>
      <c r="AB8" s="51">
        <f t="shared" si="9"/>
        <v>750</v>
      </c>
      <c r="AC8" s="44">
        <f t="shared" si="0"/>
        <v>18.760287590945488</v>
      </c>
      <c r="AD8" s="44">
        <f t="shared" si="1"/>
        <v>18.760287590945488</v>
      </c>
      <c r="AE8" s="44">
        <f t="shared" si="2"/>
        <v>2.9369157033267874</v>
      </c>
      <c r="AF8" s="44">
        <f t="shared" si="3"/>
        <v>2.9369157033267874</v>
      </c>
      <c r="AG8" s="44">
        <f t="shared" si="7"/>
        <v>28.39018513215894</v>
      </c>
      <c r="AH8" s="57">
        <f t="shared" si="8"/>
        <v>19.775232402400366</v>
      </c>
      <c r="AI8" s="38"/>
      <c r="AJ8" s="56">
        <f t="shared" si="4"/>
        <v>0</v>
      </c>
      <c r="AK8" s="58">
        <f t="shared" si="5"/>
        <v>0</v>
      </c>
      <c r="AL8" s="38"/>
      <c r="AM8" s="40"/>
      <c r="AN8" s="40"/>
    </row>
    <row r="9" spans="1:40" x14ac:dyDescent="0.25">
      <c r="A9" s="41"/>
      <c r="B9" s="40" t="s">
        <v>43</v>
      </c>
      <c r="C9" s="40" t="s">
        <v>44</v>
      </c>
      <c r="D9" s="50">
        <v>10</v>
      </c>
      <c r="E9" s="40"/>
      <c r="F9" s="50">
        <v>10</v>
      </c>
      <c r="G9" s="40"/>
      <c r="H9" s="40"/>
      <c r="I9" s="9"/>
      <c r="J9" s="9"/>
      <c r="K9" s="9"/>
      <c r="L9" s="38"/>
      <c r="M9" s="104" t="s">
        <v>180</v>
      </c>
      <c r="N9" s="44">
        <v>0</v>
      </c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56">
        <v>1</v>
      </c>
      <c r="AB9" s="51">
        <f t="shared" si="9"/>
        <v>1000</v>
      </c>
      <c r="AC9" s="44">
        <f t="shared" si="0"/>
        <v>23.072105781153528</v>
      </c>
      <c r="AD9" s="44">
        <f t="shared" si="1"/>
        <v>23.072105781153528</v>
      </c>
      <c r="AE9" s="44">
        <f t="shared" si="2"/>
        <v>3.9158876044357158</v>
      </c>
      <c r="AF9" s="44">
        <f t="shared" si="3"/>
        <v>3.9158876044357158</v>
      </c>
      <c r="AG9" s="44">
        <f t="shared" si="7"/>
        <v>27.411213231050009</v>
      </c>
      <c r="AH9" s="57">
        <f t="shared" si="8"/>
        <v>18.796260501291435</v>
      </c>
      <c r="AI9" s="38"/>
      <c r="AJ9" s="56">
        <f t="shared" si="4"/>
        <v>0</v>
      </c>
      <c r="AK9" s="58">
        <f t="shared" si="5"/>
        <v>0</v>
      </c>
      <c r="AL9" s="38"/>
      <c r="AM9" s="40"/>
      <c r="AN9" s="40"/>
    </row>
    <row r="10" spans="1:40" x14ac:dyDescent="0.25">
      <c r="A10" s="41"/>
      <c r="B10" s="40" t="s">
        <v>45</v>
      </c>
      <c r="C10" s="40" t="s">
        <v>44</v>
      </c>
      <c r="D10" s="61">
        <f>D9/D8</f>
        <v>3.3333333333333335</v>
      </c>
      <c r="E10" s="40"/>
      <c r="F10" s="61">
        <f>IFERROR(F9/F8,"")</f>
        <v>3.3333333333333335</v>
      </c>
      <c r="G10" s="40"/>
      <c r="H10" s="40"/>
      <c r="I10" s="38" t="s">
        <v>46</v>
      </c>
      <c r="J10" s="43">
        <f>D10*(3785/24)</f>
        <v>525.69444444444446</v>
      </c>
      <c r="K10" s="43">
        <f>F10*(3785/24)</f>
        <v>525.69444444444446</v>
      </c>
      <c r="L10" s="38"/>
      <c r="M10" s="10" t="s">
        <v>185</v>
      </c>
      <c r="N10" s="44"/>
      <c r="O10" s="38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38"/>
      <c r="AA10" s="56">
        <v>1.25</v>
      </c>
      <c r="AB10" s="51">
        <f t="shared" si="9"/>
        <v>1250</v>
      </c>
      <c r="AC10" s="44">
        <f t="shared" si="0"/>
        <v>26.601507769212226</v>
      </c>
      <c r="AD10" s="44">
        <f t="shared" si="1"/>
        <v>26.601507769212226</v>
      </c>
      <c r="AE10" s="44">
        <f t="shared" si="2"/>
        <v>4.8948595055446447</v>
      </c>
      <c r="AF10" s="44">
        <f t="shared" si="3"/>
        <v>4.8948595055446447</v>
      </c>
      <c r="AG10" s="44">
        <f t="shared" si="7"/>
        <v>26.432241329941082</v>
      </c>
      <c r="AH10" s="57">
        <f t="shared" si="8"/>
        <v>17.817288600182508</v>
      </c>
      <c r="AI10" s="38"/>
      <c r="AJ10" s="56">
        <f t="shared" si="4"/>
        <v>0</v>
      </c>
      <c r="AK10" s="58">
        <f t="shared" si="5"/>
        <v>0</v>
      </c>
      <c r="AL10" s="38"/>
      <c r="AM10" s="40"/>
      <c r="AN10" s="40"/>
    </row>
    <row r="11" spans="1:40" x14ac:dyDescent="0.25">
      <c r="A11" s="41"/>
      <c r="B11" s="40"/>
      <c r="C11" s="40"/>
      <c r="D11" s="40"/>
      <c r="E11" s="40"/>
      <c r="F11" s="40"/>
      <c r="G11" s="40"/>
      <c r="H11" s="40"/>
      <c r="I11" s="38"/>
      <c r="J11" s="38"/>
      <c r="K11" s="38"/>
      <c r="L11" s="38"/>
      <c r="M11" s="103" t="s">
        <v>178</v>
      </c>
      <c r="N11" s="44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56">
        <v>1.5</v>
      </c>
      <c r="AB11" s="51">
        <f t="shared" si="9"/>
        <v>1500</v>
      </c>
      <c r="AC11" s="44">
        <f t="shared" si="0"/>
        <v>29.443979384255215</v>
      </c>
      <c r="AD11" s="44">
        <f t="shared" si="1"/>
        <v>29.443979384255215</v>
      </c>
      <c r="AE11" s="44">
        <f t="shared" si="2"/>
        <v>5.8738314066535748</v>
      </c>
      <c r="AF11" s="44">
        <f t="shared" si="3"/>
        <v>5.8738314066535748</v>
      </c>
      <c r="AG11" s="44">
        <f t="shared" si="7"/>
        <v>25.453269428832151</v>
      </c>
      <c r="AH11" s="57">
        <f t="shared" si="8"/>
        <v>16.83831669907358</v>
      </c>
      <c r="AI11" s="38"/>
      <c r="AJ11" s="56">
        <f t="shared" si="4"/>
        <v>0</v>
      </c>
      <c r="AK11" s="58">
        <f t="shared" si="5"/>
        <v>0</v>
      </c>
      <c r="AL11" s="38"/>
      <c r="AM11" s="40"/>
      <c r="AN11" s="40"/>
    </row>
    <row r="12" spans="1:40" x14ac:dyDescent="0.25">
      <c r="A12" s="41"/>
      <c r="B12" s="40" t="s">
        <v>48</v>
      </c>
      <c r="C12" s="40" t="s">
        <v>28</v>
      </c>
      <c r="D12" s="62">
        <v>4000</v>
      </c>
      <c r="E12" s="40" t="s">
        <v>49</v>
      </c>
      <c r="F12" s="62">
        <v>2900</v>
      </c>
      <c r="G12" s="40" t="s">
        <v>50</v>
      </c>
      <c r="H12" s="2" t="s">
        <v>51</v>
      </c>
      <c r="I12" s="38" t="s">
        <v>27</v>
      </c>
      <c r="J12" s="44">
        <f>D12/1000</f>
        <v>4</v>
      </c>
      <c r="K12" s="44">
        <f>F12/1000</f>
        <v>2.9</v>
      </c>
      <c r="L12" s="38"/>
      <c r="M12" s="103" t="s">
        <v>179</v>
      </c>
      <c r="N12" s="44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56">
        <v>1.75</v>
      </c>
      <c r="AB12" s="51">
        <f t="shared" si="9"/>
        <v>1750</v>
      </c>
      <c r="AC12" s="44">
        <f t="shared" si="0"/>
        <v>31.684897058138727</v>
      </c>
      <c r="AD12" s="44">
        <f t="shared" si="1"/>
        <v>31.684897058138727</v>
      </c>
      <c r="AE12" s="44">
        <f t="shared" si="2"/>
        <v>6.8528033077625023</v>
      </c>
      <c r="AF12" s="44">
        <f t="shared" si="3"/>
        <v>6.8528033077625023</v>
      </c>
      <c r="AG12" s="44">
        <f t="shared" si="7"/>
        <v>24.474297527723223</v>
      </c>
      <c r="AH12" s="57">
        <f t="shared" si="8"/>
        <v>15.859344797964649</v>
      </c>
      <c r="AI12" s="38"/>
      <c r="AJ12" s="56">
        <f t="shared" si="4"/>
        <v>0</v>
      </c>
      <c r="AK12" s="58">
        <f t="shared" si="5"/>
        <v>0</v>
      </c>
      <c r="AL12" s="38"/>
      <c r="AM12" s="40"/>
      <c r="AN12" s="40"/>
    </row>
    <row r="13" spans="1:40" x14ac:dyDescent="0.25">
      <c r="A13" s="41"/>
      <c r="B13" s="40" t="s">
        <v>54</v>
      </c>
      <c r="C13" s="40" t="s">
        <v>44</v>
      </c>
      <c r="D13" s="50">
        <f>10/D8</f>
        <v>3.3333333333333335</v>
      </c>
      <c r="E13" s="40"/>
      <c r="F13" s="50">
        <f>D13</f>
        <v>3.3333333333333335</v>
      </c>
      <c r="G13" s="40"/>
      <c r="H13" s="40"/>
      <c r="I13" s="38" t="s">
        <v>46</v>
      </c>
      <c r="J13" s="43">
        <f>D13*(3785/24)</f>
        <v>525.69444444444446</v>
      </c>
      <c r="K13" s="43">
        <f>F13*(3785/24)</f>
        <v>525.69444444444446</v>
      </c>
      <c r="L13" s="38"/>
      <c r="M13" s="103" t="s">
        <v>174</v>
      </c>
      <c r="N13" s="44">
        <v>2.1436999999999999</v>
      </c>
      <c r="O13" s="38" t="s">
        <v>35</v>
      </c>
      <c r="P13" s="103"/>
      <c r="Q13" s="103"/>
      <c r="R13" s="103"/>
      <c r="S13" s="103"/>
      <c r="T13" s="103"/>
      <c r="U13" s="103"/>
      <c r="V13" s="103"/>
      <c r="W13" s="103"/>
      <c r="X13" s="103"/>
      <c r="Y13" s="103"/>
      <c r="Z13" s="38"/>
      <c r="AA13" s="56">
        <v>2</v>
      </c>
      <c r="AB13" s="51">
        <f t="shared" si="9"/>
        <v>2000</v>
      </c>
      <c r="AC13" s="44">
        <f t="shared" si="0"/>
        <v>33.40052192909117</v>
      </c>
      <c r="AD13" s="44">
        <f t="shared" si="1"/>
        <v>33.40052192909117</v>
      </c>
      <c r="AE13" s="44">
        <f t="shared" si="2"/>
        <v>7.8317752088714316</v>
      </c>
      <c r="AF13" s="44">
        <f t="shared" si="3"/>
        <v>7.8317752088714316</v>
      </c>
      <c r="AG13" s="44">
        <f t="shared" si="7"/>
        <v>23.495325626614296</v>
      </c>
      <c r="AH13" s="57">
        <f t="shared" si="8"/>
        <v>14.880372896855722</v>
      </c>
      <c r="AI13" s="38"/>
      <c r="AJ13" s="56">
        <f t="shared" si="4"/>
        <v>0</v>
      </c>
      <c r="AK13" s="58">
        <f t="shared" si="5"/>
        <v>0</v>
      </c>
      <c r="AL13" s="38"/>
      <c r="AM13" s="40"/>
      <c r="AN13" s="40"/>
    </row>
    <row r="14" spans="1:40" x14ac:dyDescent="0.25">
      <c r="A14" s="41"/>
      <c r="B14" s="40" t="s">
        <v>57</v>
      </c>
      <c r="C14" s="40" t="s">
        <v>58</v>
      </c>
      <c r="D14" s="42">
        <v>100</v>
      </c>
      <c r="E14" s="40" t="s">
        <v>49</v>
      </c>
      <c r="F14" s="42">
        <f>D14</f>
        <v>100</v>
      </c>
      <c r="G14" s="40" t="s">
        <v>50</v>
      </c>
      <c r="H14" s="40"/>
      <c r="I14" s="38" t="s">
        <v>58</v>
      </c>
      <c r="J14" s="43">
        <f>D14</f>
        <v>100</v>
      </c>
      <c r="K14" s="43">
        <f>F14</f>
        <v>100</v>
      </c>
      <c r="L14" s="38"/>
      <c r="M14" s="104" t="s">
        <v>176</v>
      </c>
      <c r="N14" s="59">
        <v>0.20036000000000001</v>
      </c>
      <c r="O14" s="38" t="s">
        <v>38</v>
      </c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38"/>
      <c r="AA14" s="56">
        <v>2.25</v>
      </c>
      <c r="AB14" s="51">
        <f t="shared" si="9"/>
        <v>2250</v>
      </c>
      <c r="AC14" s="44">
        <f t="shared" si="0"/>
        <v>34.658900527684551</v>
      </c>
      <c r="AD14" s="44">
        <f t="shared" si="1"/>
        <v>34.658900527684551</v>
      </c>
      <c r="AE14" s="44">
        <f t="shared" si="2"/>
        <v>8.81074710998036</v>
      </c>
      <c r="AF14" s="44">
        <f t="shared" si="3"/>
        <v>8.81074710998036</v>
      </c>
      <c r="AG14" s="44">
        <f t="shared" si="7"/>
        <v>22.516353725505368</v>
      </c>
      <c r="AH14" s="57">
        <f t="shared" si="8"/>
        <v>13.901400995746792</v>
      </c>
      <c r="AI14" s="38"/>
      <c r="AJ14" s="56">
        <f t="shared" si="4"/>
        <v>0</v>
      </c>
      <c r="AK14" s="58">
        <f t="shared" si="5"/>
        <v>0</v>
      </c>
      <c r="AL14" s="38"/>
      <c r="AM14" s="40"/>
      <c r="AN14" s="40"/>
    </row>
    <row r="15" spans="1:40" x14ac:dyDescent="0.25">
      <c r="A15" s="41"/>
      <c r="B15" t="s">
        <v>182</v>
      </c>
      <c r="C15" s="40"/>
      <c r="D15" s="42" t="s">
        <v>189</v>
      </c>
      <c r="E15" s="40"/>
      <c r="F15" s="42" t="s">
        <v>189</v>
      </c>
      <c r="G15" s="40"/>
      <c r="H15" s="40"/>
      <c r="I15" s="38"/>
      <c r="J15" s="38"/>
      <c r="K15" s="38"/>
      <c r="L15" s="38"/>
      <c r="M15" s="104" t="s">
        <v>177</v>
      </c>
      <c r="N15" s="60">
        <v>9.1E-4</v>
      </c>
      <c r="O15" s="38" t="s">
        <v>42</v>
      </c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38"/>
      <c r="AA15" s="56">
        <v>2.5</v>
      </c>
      <c r="AB15" s="51">
        <f t="shared" si="9"/>
        <v>2500</v>
      </c>
      <c r="AC15" s="44">
        <f t="shared" si="0"/>
        <v>35.520680558008564</v>
      </c>
      <c r="AD15" s="44">
        <f t="shared" si="1"/>
        <v>35.520680558008564</v>
      </c>
      <c r="AE15" s="44">
        <f t="shared" si="2"/>
        <v>9.7897190110892893</v>
      </c>
      <c r="AF15" s="44">
        <f t="shared" si="3"/>
        <v>9.7897190110892893</v>
      </c>
      <c r="AG15" s="44">
        <f t="shared" si="7"/>
        <v>21.537381824396437</v>
      </c>
      <c r="AH15" s="57">
        <f t="shared" si="8"/>
        <v>12.922429094637863</v>
      </c>
      <c r="AI15" s="38"/>
      <c r="AJ15" s="56">
        <f t="shared" si="4"/>
        <v>0</v>
      </c>
      <c r="AK15" s="58">
        <f t="shared" si="5"/>
        <v>0</v>
      </c>
      <c r="AL15" s="38"/>
      <c r="AM15" s="40"/>
      <c r="AN15" s="40"/>
    </row>
    <row r="16" spans="1:40" x14ac:dyDescent="0.25">
      <c r="A16" s="41"/>
      <c r="B16" s="40"/>
      <c r="C16" s="40"/>
      <c r="D16" s="13" t="str">
        <f>IF(D12&gt;4000,"SVI number is less meaningful when MLSS &gt; 4,000 mg/L","")</f>
        <v/>
      </c>
      <c r="E16" s="40"/>
      <c r="F16" s="13" t="str">
        <f>IF(F12&gt;4000,"SVI number is less meaningful when MLSS &gt; 4,000 mg/L","")</f>
        <v/>
      </c>
      <c r="G16" s="40"/>
      <c r="H16" s="40"/>
      <c r="I16" s="38"/>
      <c r="J16" s="43"/>
      <c r="K16" s="43"/>
      <c r="L16" s="38"/>
      <c r="M16" s="104" t="s">
        <v>180</v>
      </c>
      <c r="N16" s="60">
        <v>1.65E-3</v>
      </c>
      <c r="O16" s="103" t="s">
        <v>181</v>
      </c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38"/>
      <c r="AA16" s="56">
        <v>2.75</v>
      </c>
      <c r="AB16" s="51">
        <f t="shared" si="9"/>
        <v>2750</v>
      </c>
      <c r="AC16" s="44">
        <f t="shared" si="0"/>
        <v>36.039849528212805</v>
      </c>
      <c r="AD16" s="44">
        <f t="shared" si="1"/>
        <v>36.039849528212805</v>
      </c>
      <c r="AE16" s="44">
        <f t="shared" si="2"/>
        <v>10.768690912198219</v>
      </c>
      <c r="AF16" s="44">
        <f t="shared" si="3"/>
        <v>10.768690912198219</v>
      </c>
      <c r="AG16" s="44">
        <f t="shared" si="7"/>
        <v>20.558409923287506</v>
      </c>
      <c r="AH16" s="57">
        <f t="shared" si="8"/>
        <v>11.943457193528934</v>
      </c>
      <c r="AI16" s="38"/>
      <c r="AJ16" s="56">
        <f t="shared" si="4"/>
        <v>0</v>
      </c>
      <c r="AK16" s="58">
        <f t="shared" si="5"/>
        <v>0</v>
      </c>
      <c r="AL16" s="38"/>
      <c r="AM16" s="40"/>
      <c r="AN16" s="40"/>
    </row>
    <row r="17" spans="1:38" ht="21.75" thickBot="1" x14ac:dyDescent="0.4">
      <c r="A17" s="5">
        <v>2</v>
      </c>
      <c r="B17" s="6" t="s">
        <v>60</v>
      </c>
      <c r="C17" s="38"/>
      <c r="D17" s="38"/>
      <c r="E17" s="38"/>
      <c r="F17" s="38"/>
      <c r="G17" s="38"/>
      <c r="H17" s="38"/>
      <c r="I17" s="38"/>
      <c r="J17" s="43"/>
      <c r="K17" s="43"/>
      <c r="L17" s="38"/>
      <c r="M17" s="10" t="s">
        <v>186</v>
      </c>
      <c r="N17" s="44"/>
      <c r="O17" s="38"/>
      <c r="P17" s="103"/>
      <c r="Q17" s="103"/>
      <c r="R17" s="103"/>
      <c r="S17" s="103"/>
      <c r="T17" s="103"/>
      <c r="U17" s="103"/>
      <c r="V17" s="103"/>
      <c r="W17" s="103"/>
      <c r="X17" s="103"/>
      <c r="Y17" s="38"/>
      <c r="Z17" s="38"/>
      <c r="AA17" s="56">
        <v>3</v>
      </c>
      <c r="AB17" s="51">
        <f t="shared" si="9"/>
        <v>3000</v>
      </c>
      <c r="AC17" s="44">
        <f t="shared" si="0"/>
        <v>36.264403292361429</v>
      </c>
      <c r="AD17" s="44">
        <f t="shared" si="1"/>
        <v>36.264403292361429</v>
      </c>
      <c r="AE17" s="44">
        <f t="shared" si="2"/>
        <v>11.74766281330715</v>
      </c>
      <c r="AF17" s="44">
        <f t="shared" si="3"/>
        <v>11.74766281330715</v>
      </c>
      <c r="AG17" s="44">
        <f t="shared" si="7"/>
        <v>19.579438022178579</v>
      </c>
      <c r="AH17" s="57">
        <f t="shared" si="8"/>
        <v>10.964485292420004</v>
      </c>
      <c r="AI17" s="38"/>
      <c r="AJ17" s="56">
        <f t="shared" si="4"/>
        <v>0</v>
      </c>
      <c r="AK17" s="58">
        <f t="shared" si="5"/>
        <v>0</v>
      </c>
      <c r="AL17" s="38"/>
    </row>
    <row r="18" spans="1:38" x14ac:dyDescent="0.25">
      <c r="A18" s="41"/>
      <c r="B18" s="1" t="s">
        <v>4</v>
      </c>
      <c r="C18" s="1" t="s">
        <v>5</v>
      </c>
      <c r="D18" s="1" t="s">
        <v>6</v>
      </c>
      <c r="E18" s="40"/>
      <c r="F18" s="1" t="s">
        <v>36</v>
      </c>
      <c r="G18" s="14" t="s">
        <v>62</v>
      </c>
      <c r="H18" s="15"/>
      <c r="I18" s="38" t="s">
        <v>65</v>
      </c>
      <c r="J18" s="44">
        <f>J13/J10</f>
        <v>1</v>
      </c>
      <c r="K18" s="44">
        <f>K13/K10</f>
        <v>1</v>
      </c>
      <c r="L18" s="38"/>
      <c r="M18" s="103" t="s">
        <v>178</v>
      </c>
      <c r="N18" s="44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56">
        <v>3.25</v>
      </c>
      <c r="AB18" s="51">
        <f t="shared" si="9"/>
        <v>3250</v>
      </c>
      <c r="AC18" s="44">
        <f t="shared" si="0"/>
        <v>36.236950934066456</v>
      </c>
      <c r="AD18" s="44">
        <f t="shared" si="1"/>
        <v>36.236950934066456</v>
      </c>
      <c r="AE18" s="44">
        <f t="shared" si="2"/>
        <v>12.726634714416079</v>
      </c>
      <c r="AF18" s="44">
        <f t="shared" si="3"/>
        <v>12.726634714416079</v>
      </c>
      <c r="AG18" s="44">
        <f t="shared" si="7"/>
        <v>18.600466121069651</v>
      </c>
      <c r="AH18" s="57">
        <f t="shared" si="8"/>
        <v>9.9855133913110752</v>
      </c>
      <c r="AI18" s="38"/>
      <c r="AJ18" s="56">
        <f t="shared" si="4"/>
        <v>0</v>
      </c>
      <c r="AK18" s="58">
        <f t="shared" si="5"/>
        <v>0</v>
      </c>
      <c r="AL18" s="38"/>
    </row>
    <row r="19" spans="1:38" x14ac:dyDescent="0.25">
      <c r="A19" s="41"/>
      <c r="B19" s="40" t="s">
        <v>64</v>
      </c>
      <c r="C19" s="40" t="s">
        <v>65</v>
      </c>
      <c r="D19" s="61">
        <f>D13/D10</f>
        <v>1</v>
      </c>
      <c r="E19" s="40"/>
      <c r="F19" s="61">
        <f>IFERROR(F13/F10,"")</f>
        <v>1</v>
      </c>
      <c r="G19" s="64" t="s">
        <v>66</v>
      </c>
      <c r="H19" s="2" t="s">
        <v>67</v>
      </c>
      <c r="I19" s="38" t="s">
        <v>35</v>
      </c>
      <c r="J19" s="44">
        <f>J10/J3</f>
        <v>0.79789176521896199</v>
      </c>
      <c r="K19" s="44">
        <f>K10/K3</f>
        <v>0.79789176521896199</v>
      </c>
      <c r="L19" s="38"/>
      <c r="M19" s="103"/>
      <c r="N19" s="105" t="s">
        <v>187</v>
      </c>
      <c r="O19" s="39" t="s">
        <v>188</v>
      </c>
      <c r="P19" s="39" t="s">
        <v>189</v>
      </c>
      <c r="Q19" s="39" t="s">
        <v>194</v>
      </c>
      <c r="R19" s="39" t="s">
        <v>195</v>
      </c>
      <c r="S19" s="39" t="s">
        <v>196</v>
      </c>
      <c r="T19" s="39" t="s">
        <v>197</v>
      </c>
      <c r="U19" s="39" t="s">
        <v>198</v>
      </c>
      <c r="V19" s="39" t="s">
        <v>199</v>
      </c>
      <c r="W19" s="39" t="s">
        <v>200</v>
      </c>
      <c r="X19" s="39" t="s">
        <v>201</v>
      </c>
      <c r="Y19" s="38"/>
      <c r="Z19" s="38"/>
      <c r="AA19" s="56">
        <v>3.5</v>
      </c>
      <c r="AB19" s="51">
        <f t="shared" si="9"/>
        <v>3500</v>
      </c>
      <c r="AC19" s="44">
        <f t="shared" si="0"/>
        <v>35.995261846371605</v>
      </c>
      <c r="AD19" s="44">
        <f t="shared" si="1"/>
        <v>35.995261846371605</v>
      </c>
      <c r="AE19" s="44">
        <f t="shared" si="2"/>
        <v>13.705606615525005</v>
      </c>
      <c r="AF19" s="44">
        <f t="shared" si="3"/>
        <v>13.705606615525005</v>
      </c>
      <c r="AG19" s="44">
        <f t="shared" si="7"/>
        <v>17.621494219960724</v>
      </c>
      <c r="AH19" s="57">
        <f t="shared" si="8"/>
        <v>9.0065414902021477</v>
      </c>
      <c r="AI19" s="38"/>
      <c r="AJ19" s="56">
        <f t="shared" si="4"/>
        <v>0</v>
      </c>
      <c r="AK19" s="58">
        <f t="shared" si="5"/>
        <v>0</v>
      </c>
      <c r="AL19" s="38"/>
    </row>
    <row r="20" spans="1:38" x14ac:dyDescent="0.25">
      <c r="A20" s="41"/>
      <c r="B20" s="40" t="s">
        <v>69</v>
      </c>
      <c r="C20" s="40" t="s">
        <v>55</v>
      </c>
      <c r="D20" s="66">
        <f>J19*$M$51</f>
        <v>469.81909739011445</v>
      </c>
      <c r="E20" s="40"/>
      <c r="F20" s="66">
        <f>IFERROR(K19*$M$51,"")</f>
        <v>469.81909739011445</v>
      </c>
      <c r="G20" s="67">
        <v>1200</v>
      </c>
      <c r="H20" s="68"/>
      <c r="I20" s="38" t="s">
        <v>35</v>
      </c>
      <c r="J20" s="44">
        <f>-(J18*J10)/J3</f>
        <v>-0.79789176521896199</v>
      </c>
      <c r="K20" s="44">
        <f>-(K18*K10)/K3</f>
        <v>-0.79789176521896199</v>
      </c>
      <c r="L20" s="38"/>
      <c r="M20" s="103" t="s">
        <v>190</v>
      </c>
      <c r="N20" s="44">
        <v>2.0760000000000001</v>
      </c>
      <c r="O20" s="38">
        <v>2.028</v>
      </c>
      <c r="P20" s="44">
        <v>1.871</v>
      </c>
      <c r="Q20" s="44">
        <v>2.4509500000000002</v>
      </c>
      <c r="R20" s="44">
        <v>2.70065</v>
      </c>
      <c r="S20" s="44">
        <v>2.3085399999999998</v>
      </c>
      <c r="T20" s="44">
        <v>2.1436999999999999</v>
      </c>
      <c r="U20" s="44">
        <f>LN(24.3)</f>
        <v>3.1904763503465028</v>
      </c>
      <c r="V20" s="44">
        <f>LN(18.2)</f>
        <v>2.9014215940827497</v>
      </c>
      <c r="W20" s="44">
        <f>LN(14.6)</f>
        <v>2.6810215287142909</v>
      </c>
      <c r="X20" s="44">
        <f>LN(14.9)</f>
        <v>2.7013612129514133</v>
      </c>
      <c r="Y20" s="38"/>
      <c r="Z20" s="38"/>
      <c r="AA20" s="56">
        <v>3.75</v>
      </c>
      <c r="AB20" s="51">
        <f t="shared" si="9"/>
        <v>3750</v>
      </c>
      <c r="AC20" s="44">
        <f t="shared" si="0"/>
        <v>35.572760337038936</v>
      </c>
      <c r="AD20" s="44">
        <f t="shared" si="1"/>
        <v>35.572760337038936</v>
      </c>
      <c r="AE20" s="44">
        <f t="shared" si="2"/>
        <v>14.684578516633934</v>
      </c>
      <c r="AF20" s="44">
        <f t="shared" si="3"/>
        <v>14.684578516633934</v>
      </c>
      <c r="AG20" s="44">
        <f t="shared" si="7"/>
        <v>16.642522318851793</v>
      </c>
      <c r="AH20" s="57">
        <f t="shared" si="8"/>
        <v>8.0275695890932184</v>
      </c>
      <c r="AI20" s="38"/>
      <c r="AJ20" s="56">
        <f t="shared" si="4"/>
        <v>0</v>
      </c>
      <c r="AK20" s="58">
        <f t="shared" si="5"/>
        <v>0</v>
      </c>
      <c r="AL20" s="38"/>
    </row>
    <row r="21" spans="1:38" x14ac:dyDescent="0.25">
      <c r="A21" s="41"/>
      <c r="B21" s="40" t="s">
        <v>71</v>
      </c>
      <c r="C21" s="40" t="s">
        <v>55</v>
      </c>
      <c r="D21" s="66">
        <f>-J20*$M$51</f>
        <v>469.81909739011445</v>
      </c>
      <c r="E21" s="40"/>
      <c r="F21" s="66">
        <f>IFERROR(-K20*$M$51,"")</f>
        <v>469.81909739011445</v>
      </c>
      <c r="G21" s="69"/>
      <c r="H21" s="40"/>
      <c r="I21" s="38" t="s">
        <v>74</v>
      </c>
      <c r="J21" s="44">
        <f>(J10/J3)*J12</f>
        <v>3.191567060875848</v>
      </c>
      <c r="K21" s="44">
        <f>(K10/K3)*K12</f>
        <v>2.3138861191349895</v>
      </c>
      <c r="L21" s="38"/>
      <c r="M21" s="104" t="s">
        <v>191</v>
      </c>
      <c r="N21" s="59">
        <v>5.8299999999999998E-2</v>
      </c>
      <c r="O21" s="38">
        <v>0.10299999999999999</v>
      </c>
      <c r="P21" s="59">
        <v>0.1646</v>
      </c>
      <c r="Q21" s="44">
        <v>0.16755999999999999</v>
      </c>
      <c r="R21" s="44">
        <v>0.22631999999999999</v>
      </c>
      <c r="S21" s="44">
        <v>0.29720999999999997</v>
      </c>
      <c r="T21" s="44">
        <v>0.20036000000000001</v>
      </c>
      <c r="U21" s="44">
        <v>0.245</v>
      </c>
      <c r="V21" s="44">
        <v>0.35099999999999998</v>
      </c>
      <c r="W21" s="44">
        <v>0.21099999999999999</v>
      </c>
      <c r="X21" s="44">
        <v>0.26100000000000001</v>
      </c>
      <c r="Y21" s="38"/>
      <c r="Z21" s="38"/>
      <c r="AA21" s="56">
        <v>4</v>
      </c>
      <c r="AB21" s="51">
        <f t="shared" si="9"/>
        <v>4000</v>
      </c>
      <c r="AC21" s="44">
        <f t="shared" si="0"/>
        <v>34.998972609349906</v>
      </c>
      <c r="AD21" s="44">
        <f t="shared" si="1"/>
        <v>34.998972609349906</v>
      </c>
      <c r="AE21" s="44">
        <f t="shared" si="2"/>
        <v>15.663550417742863</v>
      </c>
      <c r="AF21" s="44">
        <f t="shared" si="3"/>
        <v>15.663550417742863</v>
      </c>
      <c r="AG21" s="44">
        <f t="shared" si="7"/>
        <v>15.663550417742863</v>
      </c>
      <c r="AH21" s="57">
        <f t="shared" si="8"/>
        <v>7.0485976879842891</v>
      </c>
      <c r="AI21" s="38"/>
      <c r="AJ21" s="56">
        <f t="shared" si="4"/>
        <v>0</v>
      </c>
      <c r="AK21" s="58">
        <f t="shared" si="5"/>
        <v>0</v>
      </c>
      <c r="AL21" s="38"/>
    </row>
    <row r="22" spans="1:38" x14ac:dyDescent="0.25">
      <c r="A22" s="41"/>
      <c r="B22" s="40" t="s">
        <v>73</v>
      </c>
      <c r="C22" s="40" t="s">
        <v>29</v>
      </c>
      <c r="D22" s="61">
        <f>J21*M50</f>
        <v>15.663550417742863</v>
      </c>
      <c r="E22" s="40"/>
      <c r="F22" s="61">
        <f>IFERROR(K21*M50,"")</f>
        <v>11.356074052863574</v>
      </c>
      <c r="G22" s="67">
        <v>35</v>
      </c>
      <c r="H22" s="40"/>
      <c r="I22" s="38"/>
      <c r="J22" s="44"/>
      <c r="K22" s="44"/>
      <c r="L22" s="38"/>
      <c r="M22" s="104" t="s">
        <v>192</v>
      </c>
      <c r="N22" s="60">
        <v>4.0499999999999998E-3</v>
      </c>
      <c r="O22" s="38">
        <v>2.555E-3</v>
      </c>
      <c r="P22" s="60">
        <v>1.586E-3</v>
      </c>
      <c r="Q22" s="60">
        <v>2.1800000000000001E-3</v>
      </c>
      <c r="R22" s="60">
        <v>2.64E-3</v>
      </c>
      <c r="S22" s="60">
        <v>9.5E-4</v>
      </c>
      <c r="T22" s="60">
        <v>9.1E-4</v>
      </c>
      <c r="U22" s="60">
        <v>2.96E-3</v>
      </c>
      <c r="V22" s="60">
        <v>5.8E-4</v>
      </c>
      <c r="W22" s="60">
        <v>2.3600000000000001E-3</v>
      </c>
      <c r="X22" s="60">
        <v>1.66E-3</v>
      </c>
      <c r="Y22" s="38"/>
      <c r="Z22" s="38"/>
      <c r="AA22" s="56">
        <v>4.25</v>
      </c>
      <c r="AB22" s="51">
        <f t="shared" si="9"/>
        <v>4250</v>
      </c>
      <c r="AC22" s="44">
        <f t="shared" si="0"/>
        <v>34.299930531750164</v>
      </c>
      <c r="AD22" s="44">
        <f t="shared" si="1"/>
        <v>34.299930531750164</v>
      </c>
      <c r="AE22" s="44">
        <f t="shared" si="2"/>
        <v>16.642522318851793</v>
      </c>
      <c r="AF22" s="44">
        <f t="shared" si="3"/>
        <v>16.642522318851793</v>
      </c>
      <c r="AG22" s="44">
        <f t="shared" si="7"/>
        <v>14.684578516633934</v>
      </c>
      <c r="AH22" s="57">
        <f t="shared" si="8"/>
        <v>6.0696257868753598</v>
      </c>
      <c r="AI22" s="38"/>
      <c r="AJ22" s="56">
        <f t="shared" si="4"/>
        <v>0</v>
      </c>
      <c r="AK22" s="58">
        <f t="shared" si="5"/>
        <v>0</v>
      </c>
      <c r="AL22" s="38"/>
    </row>
    <row r="23" spans="1:38" ht="15.75" thickBot="1" x14ac:dyDescent="0.3">
      <c r="A23" s="41"/>
      <c r="B23" s="40" t="s">
        <v>76</v>
      </c>
      <c r="C23" s="40" t="s">
        <v>28</v>
      </c>
      <c r="D23" s="71">
        <f ca="1">IF(D58="Yes",D12*(1+D19)/D19,"Underdeterminable")</f>
        <v>8000</v>
      </c>
      <c r="E23" s="40"/>
      <c r="F23" s="71">
        <f ca="1">IF(F58="Yes",F12*(1+F19)/F19,"Underdeterminable")</f>
        <v>5800</v>
      </c>
      <c r="G23" s="72"/>
      <c r="H23" s="40"/>
      <c r="I23" s="38"/>
      <c r="J23" s="44"/>
      <c r="K23" s="44"/>
      <c r="L23" s="38"/>
      <c r="M23" s="104" t="s">
        <v>193</v>
      </c>
      <c r="N23" s="44">
        <v>0</v>
      </c>
      <c r="O23" s="38">
        <v>0</v>
      </c>
      <c r="P23" s="44">
        <v>0</v>
      </c>
      <c r="Q23" s="60">
        <v>6.3600000000000002E-3</v>
      </c>
      <c r="R23" s="60">
        <v>8.0800000000000004E-3</v>
      </c>
      <c r="S23" s="60">
        <v>2.97E-3</v>
      </c>
      <c r="T23" s="60">
        <v>1.65E-3</v>
      </c>
      <c r="U23" s="60">
        <v>1.073E-2</v>
      </c>
      <c r="V23" s="60">
        <v>6.0200000000000002E-3</v>
      </c>
      <c r="W23" s="60">
        <v>5.9300000000000004E-3</v>
      </c>
      <c r="X23" s="60">
        <v>3.7000000000000002E-3</v>
      </c>
      <c r="Y23" s="38"/>
      <c r="Z23" s="38"/>
      <c r="AA23" s="56">
        <v>4.5</v>
      </c>
      <c r="AB23" s="51">
        <f t="shared" si="9"/>
        <v>4500</v>
      </c>
      <c r="AC23" s="44">
        <f t="shared" si="0"/>
        <v>33.498536211470892</v>
      </c>
      <c r="AD23" s="44">
        <f t="shared" si="1"/>
        <v>33.498536211470892</v>
      </c>
      <c r="AE23" s="44">
        <f t="shared" si="2"/>
        <v>17.62149421996072</v>
      </c>
      <c r="AF23" s="44">
        <f t="shared" si="3"/>
        <v>17.62149421996072</v>
      </c>
      <c r="AG23" s="44">
        <f t="shared" si="7"/>
        <v>13.705606615525006</v>
      </c>
      <c r="AH23" s="57">
        <f t="shared" si="8"/>
        <v>5.0906538857664323</v>
      </c>
      <c r="AI23" s="38"/>
      <c r="AJ23" s="56">
        <f t="shared" si="4"/>
        <v>0</v>
      </c>
      <c r="AK23" s="58">
        <f t="shared" si="5"/>
        <v>0</v>
      </c>
      <c r="AL23" s="38"/>
    </row>
    <row r="24" spans="1:38" x14ac:dyDescent="0.25">
      <c r="A24" s="41"/>
      <c r="B24" s="40"/>
      <c r="C24" s="40"/>
      <c r="D24" s="71"/>
      <c r="E24" s="40"/>
      <c r="F24" s="66"/>
      <c r="G24" s="40"/>
      <c r="H24" s="40"/>
      <c r="I24" s="38"/>
      <c r="J24" s="44"/>
      <c r="K24" s="44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56">
        <v>4.75</v>
      </c>
      <c r="AB24" s="51">
        <f t="shared" si="9"/>
        <v>4750</v>
      </c>
      <c r="AC24" s="44">
        <f t="shared" si="0"/>
        <v>32.614891024289264</v>
      </c>
      <c r="AD24" s="44">
        <f t="shared" si="1"/>
        <v>32.614891024289264</v>
      </c>
      <c r="AE24" s="44">
        <f t="shared" si="2"/>
        <v>18.600466121069651</v>
      </c>
      <c r="AF24" s="44">
        <f t="shared" si="3"/>
        <v>18.600466121069651</v>
      </c>
      <c r="AG24" s="44">
        <f t="shared" si="7"/>
        <v>12.726634714416075</v>
      </c>
      <c r="AH24" s="57">
        <f t="shared" si="8"/>
        <v>4.1116819846575012</v>
      </c>
      <c r="AI24" s="38"/>
      <c r="AJ24" s="56">
        <f t="shared" si="4"/>
        <v>0</v>
      </c>
      <c r="AK24" s="58">
        <f t="shared" si="5"/>
        <v>0</v>
      </c>
      <c r="AL24" s="38"/>
    </row>
    <row r="25" spans="1:38" ht="21" x14ac:dyDescent="0.35">
      <c r="A25" s="5">
        <v>3</v>
      </c>
      <c r="B25" s="6" t="s">
        <v>78</v>
      </c>
      <c r="C25" s="38"/>
      <c r="D25" s="38"/>
      <c r="E25" s="38"/>
      <c r="F25" s="38"/>
      <c r="G25" s="38"/>
      <c r="H25" s="38"/>
      <c r="I25" s="38"/>
      <c r="J25" s="44"/>
      <c r="K25" s="44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56">
        <v>5</v>
      </c>
      <c r="AB25" s="51">
        <f t="shared" si="9"/>
        <v>5000</v>
      </c>
      <c r="AC25" s="44">
        <f t="shared" si="0"/>
        <v>31.666592421776755</v>
      </c>
      <c r="AD25" s="44">
        <f t="shared" si="1"/>
        <v>31.666592421776755</v>
      </c>
      <c r="AE25" s="44">
        <f t="shared" si="2"/>
        <v>19.579438022178579</v>
      </c>
      <c r="AF25" s="44">
        <f t="shared" si="3"/>
        <v>19.579438022178579</v>
      </c>
      <c r="AG25" s="44">
        <f t="shared" si="7"/>
        <v>11.747662813307148</v>
      </c>
      <c r="AH25" s="57">
        <f t="shared" si="8"/>
        <v>3.1327100835485737</v>
      </c>
      <c r="AI25" s="38"/>
      <c r="AJ25" s="56">
        <f t="shared" si="4"/>
        <v>0</v>
      </c>
      <c r="AK25" s="58">
        <f t="shared" si="5"/>
        <v>0</v>
      </c>
      <c r="AL25" s="38"/>
    </row>
    <row r="26" spans="1:38" x14ac:dyDescent="0.25">
      <c r="A26" s="41"/>
      <c r="B26" s="40"/>
      <c r="C26" s="40"/>
      <c r="D26" s="40"/>
      <c r="E26" s="40"/>
      <c r="F26" s="40"/>
      <c r="G26" s="40"/>
      <c r="H26" s="40"/>
      <c r="I26" s="38"/>
      <c r="J26" s="44"/>
      <c r="K26" s="44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56">
        <v>5.25</v>
      </c>
      <c r="AB26" s="51">
        <f t="shared" si="9"/>
        <v>5250</v>
      </c>
      <c r="AC26" s="44">
        <f t="shared" si="0"/>
        <v>30.669001535923709</v>
      </c>
      <c r="AD26" s="44">
        <f t="shared" si="1"/>
        <v>30.669001535923709</v>
      </c>
      <c r="AE26" s="44">
        <f t="shared" si="2"/>
        <v>20.55840992328751</v>
      </c>
      <c r="AF26" s="44">
        <f t="shared" si="3"/>
        <v>20.55840992328751</v>
      </c>
      <c r="AG26" s="44">
        <f t="shared" si="7"/>
        <v>10.76869091219822</v>
      </c>
      <c r="AH26" s="57">
        <f t="shared" si="8"/>
        <v>2.1537381824396462</v>
      </c>
      <c r="AI26" s="38"/>
      <c r="AJ26" s="56">
        <f t="shared" si="4"/>
        <v>0</v>
      </c>
      <c r="AK26" s="58">
        <f t="shared" si="5"/>
        <v>0</v>
      </c>
      <c r="AL26" s="38"/>
    </row>
    <row r="27" spans="1:38" x14ac:dyDescent="0.25">
      <c r="A27" s="41"/>
      <c r="B27" s="40"/>
      <c r="C27" s="40"/>
      <c r="D27" s="40"/>
      <c r="E27" s="40"/>
      <c r="F27" s="40"/>
      <c r="G27" s="40"/>
      <c r="H27" s="40"/>
      <c r="I27" s="38"/>
      <c r="J27" s="44"/>
      <c r="K27" s="44"/>
      <c r="L27" s="38"/>
      <c r="M27" s="10" t="s">
        <v>183</v>
      </c>
      <c r="N27" s="38" t="s">
        <v>30</v>
      </c>
      <c r="O27" s="38" t="s">
        <v>31</v>
      </c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56">
        <v>5.5</v>
      </c>
      <c r="AB27" s="51">
        <f t="shared" si="9"/>
        <v>5500</v>
      </c>
      <c r="AC27" s="44">
        <f t="shared" si="0"/>
        <v>29.635484326354355</v>
      </c>
      <c r="AD27" s="44">
        <f t="shared" si="1"/>
        <v>29.635484326354355</v>
      </c>
      <c r="AE27" s="44">
        <f t="shared" si="2"/>
        <v>21.537381824396437</v>
      </c>
      <c r="AF27" s="44">
        <f t="shared" si="3"/>
        <v>21.537381824396437</v>
      </c>
      <c r="AG27" s="44">
        <f t="shared" si="7"/>
        <v>9.7897190110892893</v>
      </c>
      <c r="AH27" s="57">
        <f t="shared" si="8"/>
        <v>1.1747662813307151</v>
      </c>
      <c r="AI27" s="38"/>
      <c r="AJ27" s="56">
        <f t="shared" si="4"/>
        <v>0</v>
      </c>
      <c r="AK27" s="58">
        <f t="shared" si="5"/>
        <v>0</v>
      </c>
      <c r="AL27" s="38"/>
    </row>
    <row r="28" spans="1:38" x14ac:dyDescent="0.25">
      <c r="A28" s="41"/>
      <c r="B28" s="40"/>
      <c r="C28" s="40"/>
      <c r="D28" s="40"/>
      <c r="E28" s="40"/>
      <c r="F28" s="40"/>
      <c r="G28" s="40"/>
      <c r="H28" s="40"/>
      <c r="I28" s="38"/>
      <c r="J28" s="44"/>
      <c r="K28" s="44"/>
      <c r="L28" s="38"/>
      <c r="M28" s="103" t="s">
        <v>184</v>
      </c>
      <c r="N28" s="38" t="str">
        <f>D15</f>
        <v>Daigger (SVI)</v>
      </c>
      <c r="O28" s="38" t="str">
        <f>F15</f>
        <v>Daigger (SVI)</v>
      </c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56">
        <v>5.75</v>
      </c>
      <c r="AB28" s="51">
        <f t="shared" si="9"/>
        <v>5750</v>
      </c>
      <c r="AC28" s="44">
        <f t="shared" si="0"/>
        <v>28.577628765120348</v>
      </c>
      <c r="AD28" s="44">
        <f t="shared" si="1"/>
        <v>28.577628765120348</v>
      </c>
      <c r="AE28" s="44">
        <f t="shared" si="2"/>
        <v>22.516353725505368</v>
      </c>
      <c r="AF28" s="44">
        <f t="shared" si="3"/>
        <v>22.516353725505368</v>
      </c>
      <c r="AG28" s="44">
        <f t="shared" si="7"/>
        <v>8.8107471099803618</v>
      </c>
      <c r="AH28" s="57">
        <f t="shared" si="8"/>
        <v>0.19579438022178763</v>
      </c>
      <c r="AI28" s="38"/>
      <c r="AJ28" s="56">
        <f t="shared" si="4"/>
        <v>0</v>
      </c>
      <c r="AK28" s="58">
        <f t="shared" si="5"/>
        <v>0</v>
      </c>
      <c r="AL28" s="38"/>
    </row>
    <row r="29" spans="1:38" x14ac:dyDescent="0.25">
      <c r="A29" s="41"/>
      <c r="B29" s="40"/>
      <c r="C29" s="40"/>
      <c r="D29" s="40"/>
      <c r="E29" s="40"/>
      <c r="F29" s="40"/>
      <c r="G29" s="40"/>
      <c r="H29" s="40"/>
      <c r="I29" s="38"/>
      <c r="J29" s="38"/>
      <c r="K29" s="38"/>
      <c r="L29" s="38"/>
      <c r="M29" s="38"/>
      <c r="N29" s="38">
        <f>MATCH(N28,$N$19:$Y$19,0)</f>
        <v>3</v>
      </c>
      <c r="O29" s="38">
        <f>MATCH(O28,$N$19:$Y$19,0)</f>
        <v>3</v>
      </c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56">
        <v>6</v>
      </c>
      <c r="AB29" s="51">
        <f t="shared" si="9"/>
        <v>6000</v>
      </c>
      <c r="AC29" s="44">
        <f t="shared" si="0"/>
        <v>27.505440326139134</v>
      </c>
      <c r="AD29" s="44">
        <f t="shared" si="1"/>
        <v>27.505440326139134</v>
      </c>
      <c r="AE29" s="44">
        <f t="shared" si="2"/>
        <v>23.495325626614299</v>
      </c>
      <c r="AF29" s="44">
        <f t="shared" si="3"/>
        <v>23.495325626614299</v>
      </c>
      <c r="AG29" s="44">
        <f t="shared" si="7"/>
        <v>7.8317752088714307</v>
      </c>
      <c r="AH29" s="57">
        <f t="shared" si="8"/>
        <v>-0.78317752088714343</v>
      </c>
      <c r="AI29" s="38"/>
      <c r="AJ29" s="56">
        <f t="shared" si="4"/>
        <v>0</v>
      </c>
      <c r="AK29" s="58">
        <f t="shared" si="5"/>
        <v>0</v>
      </c>
      <c r="AL29" s="38"/>
    </row>
    <row r="30" spans="1:38" x14ac:dyDescent="0.25">
      <c r="A30" s="41"/>
      <c r="B30" s="40"/>
      <c r="C30" s="40"/>
      <c r="D30" s="40"/>
      <c r="E30" s="40"/>
      <c r="F30" s="40"/>
      <c r="G30" s="40"/>
      <c r="H30" s="40"/>
      <c r="I30" s="38"/>
      <c r="J30" s="38"/>
      <c r="K30" s="38"/>
      <c r="L30" s="38"/>
      <c r="M30" s="103" t="s">
        <v>174</v>
      </c>
      <c r="N30" s="38" cm="1">
        <f t="array" ref="N30">INDEX($N20:$Y20,0,N$29)</f>
        <v>1.871</v>
      </c>
      <c r="O30" s="38" cm="1">
        <f t="array" ref="O30">INDEX($N20:$Y20,0,O$29)</f>
        <v>1.871</v>
      </c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56">
        <v>6.25</v>
      </c>
      <c r="AB30" s="51">
        <f t="shared" si="9"/>
        <v>6250</v>
      </c>
      <c r="AC30" s="44">
        <f t="shared" si="0"/>
        <v>26.427517838773081</v>
      </c>
      <c r="AD30" s="44">
        <f t="shared" si="1"/>
        <v>26.427517838773081</v>
      </c>
      <c r="AE30" s="44">
        <f t="shared" si="2"/>
        <v>24.474297527723227</v>
      </c>
      <c r="AF30" s="44">
        <f t="shared" si="3"/>
        <v>24.474297527723227</v>
      </c>
      <c r="AG30" s="44">
        <f t="shared" si="7"/>
        <v>6.8528033077625032</v>
      </c>
      <c r="AH30" s="57">
        <f t="shared" si="8"/>
        <v>-1.7621494219960709</v>
      </c>
      <c r="AI30" s="38"/>
      <c r="AJ30" s="56">
        <f t="shared" si="4"/>
        <v>0</v>
      </c>
      <c r="AK30" s="58">
        <f t="shared" si="5"/>
        <v>0</v>
      </c>
      <c r="AL30" s="38"/>
    </row>
    <row r="31" spans="1:38" x14ac:dyDescent="0.25">
      <c r="A31" s="41"/>
      <c r="B31" s="40"/>
      <c r="C31" s="40"/>
      <c r="D31" s="40"/>
      <c r="E31" s="40"/>
      <c r="F31" s="40"/>
      <c r="G31" s="40"/>
      <c r="H31" s="40"/>
      <c r="I31" s="38"/>
      <c r="J31" s="38"/>
      <c r="K31" s="38"/>
      <c r="L31" s="38"/>
      <c r="M31" s="104" t="s">
        <v>176</v>
      </c>
      <c r="N31" s="38" cm="1">
        <f t="array" ref="N31">INDEX($N21:$Y21,0,N$29)</f>
        <v>0.1646</v>
      </c>
      <c r="O31" s="38" cm="1">
        <f t="array" ref="O31">INDEX($N21:$Y21,0,O$29)</f>
        <v>0.1646</v>
      </c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56">
        <v>6.5</v>
      </c>
      <c r="AB31" s="51">
        <f t="shared" si="9"/>
        <v>6500</v>
      </c>
      <c r="AC31" s="44">
        <f t="shared" si="0"/>
        <v>25.351211576039407</v>
      </c>
      <c r="AD31" s="44">
        <f t="shared" si="1"/>
        <v>25.351211576039407</v>
      </c>
      <c r="AE31" s="44">
        <f t="shared" si="2"/>
        <v>25.453269428832158</v>
      </c>
      <c r="AF31" s="44">
        <f t="shared" si="3"/>
        <v>25.453269428832158</v>
      </c>
      <c r="AG31" s="44">
        <f t="shared" si="7"/>
        <v>5.8738314066535722</v>
      </c>
      <c r="AH31" s="57">
        <f t="shared" si="8"/>
        <v>-2.741121323105002</v>
      </c>
      <c r="AI31" s="38"/>
      <c r="AJ31" s="56">
        <f t="shared" si="4"/>
        <v>0</v>
      </c>
      <c r="AK31" s="58">
        <f t="shared" si="5"/>
        <v>0</v>
      </c>
      <c r="AL31" s="38"/>
    </row>
    <row r="32" spans="1:38" x14ac:dyDescent="0.25">
      <c r="A32" s="41"/>
      <c r="B32" s="40"/>
      <c r="C32" s="40"/>
      <c r="D32" s="40"/>
      <c r="E32" s="40"/>
      <c r="F32" s="40"/>
      <c r="G32" s="40"/>
      <c r="H32" s="40"/>
      <c r="I32" s="38"/>
      <c r="J32" s="38"/>
      <c r="K32" s="38"/>
      <c r="L32" s="38"/>
      <c r="M32" s="104" t="s">
        <v>177</v>
      </c>
      <c r="N32" s="38" cm="1">
        <f t="array" ref="N32">INDEX($N22:$Y22,0,N$29)</f>
        <v>1.586E-3</v>
      </c>
      <c r="O32" s="38" cm="1">
        <f t="array" ref="O32">INDEX($N22:$Y22,0,O$29)</f>
        <v>1.586E-3</v>
      </c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56">
        <v>6.75</v>
      </c>
      <c r="AB32" s="51">
        <f t="shared" si="9"/>
        <v>6750</v>
      </c>
      <c r="AC32" s="44">
        <f t="shared" si="0"/>
        <v>24.282765275867973</v>
      </c>
      <c r="AD32" s="44">
        <f t="shared" si="1"/>
        <v>24.282765275867973</v>
      </c>
      <c r="AE32" s="44">
        <f t="shared" si="2"/>
        <v>26.432241329941085</v>
      </c>
      <c r="AF32" s="44">
        <f t="shared" si="3"/>
        <v>26.432241329941085</v>
      </c>
      <c r="AG32" s="44">
        <f t="shared" si="7"/>
        <v>4.8948595055446482</v>
      </c>
      <c r="AH32" s="57">
        <f t="shared" si="8"/>
        <v>-3.720093224213926</v>
      </c>
      <c r="AI32" s="38"/>
      <c r="AJ32" s="56">
        <f t="shared" si="4"/>
        <v>0</v>
      </c>
      <c r="AK32" s="58">
        <f t="shared" si="5"/>
        <v>0</v>
      </c>
      <c r="AL32" s="38"/>
    </row>
    <row r="33" spans="1:38" x14ac:dyDescent="0.25">
      <c r="A33" s="41"/>
      <c r="B33" s="40"/>
      <c r="C33" s="40"/>
      <c r="D33" s="40"/>
      <c r="E33" s="40"/>
      <c r="F33" s="40"/>
      <c r="G33" s="40"/>
      <c r="H33" s="40"/>
      <c r="I33" s="38"/>
      <c r="J33" s="38"/>
      <c r="K33" s="38"/>
      <c r="L33" s="38"/>
      <c r="M33" s="104" t="s">
        <v>180</v>
      </c>
      <c r="N33" s="38" cm="1">
        <f t="array" ref="N33">INDEX($N23:$Y23,0,N$29)</f>
        <v>0</v>
      </c>
      <c r="O33" s="38" cm="1">
        <f t="array" ref="O33">INDEX($N23:$Y23,0,O$29)</f>
        <v>0</v>
      </c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74"/>
      <c r="AA33" s="56">
        <v>7</v>
      </c>
      <c r="AB33" s="51">
        <f t="shared" si="9"/>
        <v>7000</v>
      </c>
      <c r="AC33" s="44">
        <f t="shared" si="0"/>
        <v>23.227443637194636</v>
      </c>
      <c r="AD33" s="44">
        <f t="shared" si="1"/>
        <v>23.227443637194636</v>
      </c>
      <c r="AE33" s="44">
        <f t="shared" si="2"/>
        <v>27.411213231050009</v>
      </c>
      <c r="AF33" s="44">
        <f t="shared" si="3"/>
        <v>27.411213231050009</v>
      </c>
      <c r="AG33" s="44">
        <f t="shared" si="7"/>
        <v>3.9158876044357172</v>
      </c>
      <c r="AH33" s="57">
        <f t="shared" si="8"/>
        <v>-4.699065125322857</v>
      </c>
      <c r="AI33" s="38"/>
      <c r="AJ33" s="56">
        <f t="shared" si="4"/>
        <v>0</v>
      </c>
      <c r="AK33" s="58">
        <f t="shared" si="5"/>
        <v>0</v>
      </c>
      <c r="AL33" s="38"/>
    </row>
    <row r="34" spans="1:38" x14ac:dyDescent="0.25">
      <c r="A34" s="41"/>
      <c r="B34" s="40"/>
      <c r="C34" s="40"/>
      <c r="D34" s="40"/>
      <c r="E34" s="40"/>
      <c r="F34" s="40"/>
      <c r="G34" s="40"/>
      <c r="H34" s="40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56">
        <v>7.25</v>
      </c>
      <c r="AB34" s="51">
        <f t="shared" si="9"/>
        <v>7250</v>
      </c>
      <c r="AC34" s="44">
        <f t="shared" si="0"/>
        <v>22.189646690130981</v>
      </c>
      <c r="AD34" s="44">
        <f t="shared" si="1"/>
        <v>22.189646690130981</v>
      </c>
      <c r="AE34" s="44">
        <f t="shared" si="2"/>
        <v>28.39018513215894</v>
      </c>
      <c r="AF34" s="44">
        <f t="shared" si="3"/>
        <v>28.39018513215894</v>
      </c>
      <c r="AG34" s="44">
        <f t="shared" si="7"/>
        <v>2.9369157033267896</v>
      </c>
      <c r="AH34" s="57">
        <f t="shared" si="8"/>
        <v>-5.6780370264317845</v>
      </c>
      <c r="AI34" s="38"/>
      <c r="AJ34" s="56">
        <f t="shared" si="4"/>
        <v>0</v>
      </c>
      <c r="AK34" s="58">
        <f t="shared" si="5"/>
        <v>0</v>
      </c>
      <c r="AL34" s="38"/>
    </row>
    <row r="35" spans="1:38" x14ac:dyDescent="0.25">
      <c r="A35" s="41"/>
      <c r="B35" s="40"/>
      <c r="C35" s="40"/>
      <c r="D35" s="40"/>
      <c r="E35" s="40"/>
      <c r="F35" s="40"/>
      <c r="G35" s="40"/>
      <c r="H35" s="40"/>
      <c r="I35" s="38"/>
      <c r="J35" s="38"/>
      <c r="K35" s="38"/>
      <c r="L35" s="38"/>
      <c r="M35" s="39"/>
      <c r="N35" s="38">
        <f>EXP(N30)</f>
        <v>6.4947879409158507</v>
      </c>
      <c r="O35" s="38">
        <f>EXP(O30)</f>
        <v>6.4947879409158507</v>
      </c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75"/>
      <c r="AA35" s="56">
        <v>7.5</v>
      </c>
      <c r="AB35" s="51">
        <f t="shared" si="9"/>
        <v>7500</v>
      </c>
      <c r="AC35" s="44">
        <f t="shared" si="0"/>
        <v>21.173012309743918</v>
      </c>
      <c r="AD35" s="44">
        <f t="shared" si="1"/>
        <v>21.173012309743918</v>
      </c>
      <c r="AE35" s="44">
        <f t="shared" si="2"/>
        <v>29.369157033267868</v>
      </c>
      <c r="AF35" s="44">
        <f t="shared" si="3"/>
        <v>29.369157033267868</v>
      </c>
      <c r="AG35" s="44">
        <f t="shared" si="7"/>
        <v>1.9579438022178586</v>
      </c>
      <c r="AH35" s="57">
        <f t="shared" si="8"/>
        <v>-6.6570089275407156</v>
      </c>
      <c r="AI35" s="38"/>
      <c r="AJ35" s="56">
        <f t="shared" si="4"/>
        <v>0</v>
      </c>
      <c r="AK35" s="58">
        <f t="shared" si="5"/>
        <v>0</v>
      </c>
      <c r="AL35" s="38"/>
    </row>
    <row r="36" spans="1:38" x14ac:dyDescent="0.25">
      <c r="A36" s="41"/>
      <c r="B36" s="40"/>
      <c r="C36" s="40"/>
      <c r="D36" s="40"/>
      <c r="E36" s="40"/>
      <c r="F36" s="40"/>
      <c r="G36" s="40"/>
      <c r="H36" s="40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75"/>
      <c r="AA36" s="56">
        <v>7.75</v>
      </c>
      <c r="AB36" s="51">
        <f t="shared" ref="AB36:AB73" si="10">AA36*1000</f>
        <v>7750</v>
      </c>
      <c r="AC36" s="44">
        <f t="shared" si="0"/>
        <v>20.180508024977442</v>
      </c>
      <c r="AD36" s="44">
        <f t="shared" si="1"/>
        <v>20.180508024977442</v>
      </c>
      <c r="AE36" s="44">
        <f t="shared" si="2"/>
        <v>30.348128934376799</v>
      </c>
      <c r="AF36" s="44">
        <f t="shared" si="3"/>
        <v>30.348128934376799</v>
      </c>
      <c r="AG36" s="44">
        <f t="shared" si="7"/>
        <v>0.97897190110893106</v>
      </c>
      <c r="AH36" s="57">
        <f t="shared" si="8"/>
        <v>-7.6359808286496431</v>
      </c>
      <c r="AI36" s="38"/>
      <c r="AJ36" s="56">
        <f t="shared" si="4"/>
        <v>0</v>
      </c>
      <c r="AK36" s="58">
        <f t="shared" si="5"/>
        <v>0</v>
      </c>
      <c r="AL36" s="38"/>
    </row>
    <row r="37" spans="1:38" x14ac:dyDescent="0.25">
      <c r="A37" s="41"/>
      <c r="B37" s="40"/>
      <c r="C37" s="40"/>
      <c r="D37" s="40"/>
      <c r="E37" s="40"/>
      <c r="F37" s="40"/>
      <c r="G37" s="40"/>
      <c r="H37" s="40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63"/>
      <c r="AA37" s="56">
        <v>8</v>
      </c>
      <c r="AB37" s="51">
        <f t="shared" si="10"/>
        <v>8000</v>
      </c>
      <c r="AC37" s="44">
        <f t="shared" ref="AC37:AC73" si="11">($AA37*EXP(N$30)*EXP(-N$33*J$14-N$31*$AA37-N$32*J$14*$AA37))*$M$50</f>
        <v>19.214513166917367</v>
      </c>
      <c r="AD37" s="44">
        <f t="shared" ref="AD37:AD73" si="12">($AA37*EXP(O$30)*EXP(-O$33*K$14-O$31*$AA37-O$32*K$14*$AA37))*$M$50</f>
        <v>19.214513166917367</v>
      </c>
      <c r="AE37" s="44">
        <f t="shared" ref="AE37:AE73" si="13">(J$10*$AA37/J$3)*$M$50</f>
        <v>31.327100835485727</v>
      </c>
      <c r="AF37" s="44">
        <f t="shared" ref="AF37:AF73" si="14">(K$10*$AA37/K$3)*$M$50</f>
        <v>31.327100835485727</v>
      </c>
      <c r="AG37" s="44">
        <f t="shared" si="7"/>
        <v>0</v>
      </c>
      <c r="AH37" s="57">
        <f t="shared" si="8"/>
        <v>-8.6149527297585742</v>
      </c>
      <c r="AI37" s="38"/>
      <c r="AJ37" s="56">
        <f t="shared" ref="AJ37:AJ73" si="15">IF($AB37&gt;D$12,IF(AC37&lt;0.95*AG37,1,0),0)</f>
        <v>0</v>
      </c>
      <c r="AK37" s="58">
        <f t="shared" ref="AK37:AK73" si="16">IF($AB37&gt;F$12,IF(AD37&lt;0.95*AH37,1,0),0)</f>
        <v>0</v>
      </c>
      <c r="AL37" s="38"/>
    </row>
    <row r="38" spans="1:38" x14ac:dyDescent="0.25">
      <c r="A38" s="41"/>
      <c r="B38" s="40"/>
      <c r="C38" s="40"/>
      <c r="D38" s="40"/>
      <c r="E38" s="40"/>
      <c r="F38" s="40"/>
      <c r="G38" s="40"/>
      <c r="H38" s="40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56">
        <v>8.25</v>
      </c>
      <c r="AB38" s="51">
        <f t="shared" si="10"/>
        <v>8250</v>
      </c>
      <c r="AC38" s="44">
        <f t="shared" si="11"/>
        <v>18.276892302992376</v>
      </c>
      <c r="AD38" s="44">
        <f t="shared" si="12"/>
        <v>18.276892302992376</v>
      </c>
      <c r="AE38" s="44">
        <f t="shared" si="13"/>
        <v>32.306072736594658</v>
      </c>
      <c r="AF38" s="44">
        <f t="shared" si="14"/>
        <v>32.306072736594658</v>
      </c>
      <c r="AG38" s="44">
        <f t="shared" ref="AG38:AG73" si="17">$J$20*AA38*$M$50+$AG$5</f>
        <v>-0.97897190110893106</v>
      </c>
      <c r="AH38" s="57">
        <f t="shared" ref="AH38:AH73" si="18">$K$20*AA38*$M$50+$AH$5</f>
        <v>-9.5939246308675052</v>
      </c>
      <c r="AI38" s="38"/>
      <c r="AJ38" s="56">
        <f t="shared" si="15"/>
        <v>0</v>
      </c>
      <c r="AK38" s="58">
        <f t="shared" si="16"/>
        <v>0</v>
      </c>
      <c r="AL38" s="38"/>
    </row>
    <row r="39" spans="1:38" x14ac:dyDescent="0.25">
      <c r="A39" s="41"/>
      <c r="B39" s="40"/>
      <c r="C39" s="40"/>
      <c r="D39" s="40"/>
      <c r="E39" s="40"/>
      <c r="F39" s="40"/>
      <c r="G39" s="40"/>
      <c r="H39" s="40"/>
      <c r="I39" s="38"/>
      <c r="J39" s="38"/>
      <c r="K39" s="38"/>
      <c r="L39" s="38"/>
      <c r="M39" s="38"/>
      <c r="N39" s="59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56">
        <v>8.5</v>
      </c>
      <c r="AB39" s="51">
        <f t="shared" si="10"/>
        <v>8500</v>
      </c>
      <c r="AC39" s="44">
        <f t="shared" si="11"/>
        <v>17.369060814959205</v>
      </c>
      <c r="AD39" s="44">
        <f t="shared" si="12"/>
        <v>17.369060814959205</v>
      </c>
      <c r="AE39" s="44">
        <f t="shared" si="13"/>
        <v>33.285044637703585</v>
      </c>
      <c r="AF39" s="44">
        <f t="shared" si="14"/>
        <v>33.285044637703585</v>
      </c>
      <c r="AG39" s="44">
        <f t="shared" si="17"/>
        <v>-1.9579438022178586</v>
      </c>
      <c r="AH39" s="57">
        <f t="shared" si="18"/>
        <v>-10.572896531976433</v>
      </c>
      <c r="AI39" s="38"/>
      <c r="AJ39" s="56">
        <f t="shared" si="15"/>
        <v>0</v>
      </c>
      <c r="AK39" s="58">
        <f t="shared" si="16"/>
        <v>0</v>
      </c>
      <c r="AL39" s="38"/>
    </row>
    <row r="40" spans="1:38" x14ac:dyDescent="0.25">
      <c r="A40" s="41"/>
      <c r="B40" s="40"/>
      <c r="C40" s="40"/>
      <c r="D40" s="40"/>
      <c r="E40" s="40"/>
      <c r="F40" s="40"/>
      <c r="G40" s="40"/>
      <c r="H40" s="40"/>
      <c r="I40" s="38"/>
      <c r="J40" s="38"/>
      <c r="K40" s="38"/>
      <c r="L40" s="38"/>
      <c r="M40" s="38"/>
      <c r="N40" s="73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56">
        <v>8.75</v>
      </c>
      <c r="AB40" s="51">
        <f t="shared" si="10"/>
        <v>8750</v>
      </c>
      <c r="AC40" s="44">
        <f t="shared" si="11"/>
        <v>16.492043397847727</v>
      </c>
      <c r="AD40" s="44">
        <f t="shared" si="12"/>
        <v>16.492043397847727</v>
      </c>
      <c r="AE40" s="44">
        <f t="shared" si="13"/>
        <v>34.264016538812513</v>
      </c>
      <c r="AF40" s="44">
        <f t="shared" si="14"/>
        <v>34.264016538812513</v>
      </c>
      <c r="AG40" s="44">
        <f t="shared" si="17"/>
        <v>-2.9369157033267861</v>
      </c>
      <c r="AH40" s="57">
        <f t="shared" si="18"/>
        <v>-11.55186843308536</v>
      </c>
      <c r="AI40" s="38"/>
      <c r="AJ40" s="56">
        <f t="shared" si="15"/>
        <v>0</v>
      </c>
      <c r="AK40" s="58">
        <f t="shared" si="16"/>
        <v>0</v>
      </c>
      <c r="AL40" s="38"/>
    </row>
    <row r="41" spans="1:38" x14ac:dyDescent="0.25">
      <c r="A41" s="41"/>
      <c r="B41" s="40"/>
      <c r="C41" s="40"/>
      <c r="D41" s="40"/>
      <c r="E41" s="40"/>
      <c r="F41" s="40"/>
      <c r="G41" s="40"/>
      <c r="H41" s="40"/>
      <c r="I41" s="38"/>
      <c r="J41" s="38"/>
      <c r="K41" s="38"/>
      <c r="L41" s="38"/>
      <c r="M41" s="10" t="s">
        <v>61</v>
      </c>
      <c r="N41" s="38" t="s">
        <v>30</v>
      </c>
      <c r="O41" s="38" t="s">
        <v>31</v>
      </c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56">
        <v>9</v>
      </c>
      <c r="AB41" s="51">
        <f t="shared" si="10"/>
        <v>9000</v>
      </c>
      <c r="AC41" s="44">
        <f t="shared" si="11"/>
        <v>15.646526183725113</v>
      </c>
      <c r="AD41" s="44">
        <f t="shared" si="12"/>
        <v>15.646526183725113</v>
      </c>
      <c r="AE41" s="44">
        <f t="shared" si="13"/>
        <v>35.24298843992144</v>
      </c>
      <c r="AF41" s="44">
        <f t="shared" si="14"/>
        <v>35.24298843992144</v>
      </c>
      <c r="AG41" s="44">
        <f t="shared" si="17"/>
        <v>-3.9158876044357136</v>
      </c>
      <c r="AH41" s="57">
        <f t="shared" si="18"/>
        <v>-12.530840334194288</v>
      </c>
      <c r="AI41" s="38"/>
      <c r="AJ41" s="56">
        <f t="shared" si="15"/>
        <v>0</v>
      </c>
      <c r="AK41" s="58">
        <f t="shared" si="16"/>
        <v>0</v>
      </c>
      <c r="AL41" s="38"/>
    </row>
    <row r="42" spans="1:38" x14ac:dyDescent="0.25">
      <c r="A42" s="41"/>
      <c r="B42" s="40"/>
      <c r="C42" s="40"/>
      <c r="D42" s="40"/>
      <c r="E42" s="40"/>
      <c r="F42" s="40"/>
      <c r="G42" s="40"/>
      <c r="H42" s="40"/>
      <c r="I42" s="38"/>
      <c r="J42" s="38"/>
      <c r="K42" s="38"/>
      <c r="L42" s="38"/>
      <c r="M42" s="38" t="s">
        <v>63</v>
      </c>
      <c r="N42" s="44">
        <f>D12</f>
        <v>4000</v>
      </c>
      <c r="O42" s="44">
        <f>F12</f>
        <v>2900</v>
      </c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56">
        <v>9.25</v>
      </c>
      <c r="AB42" s="51">
        <f t="shared" si="10"/>
        <v>9250</v>
      </c>
      <c r="AC42" s="44">
        <f t="shared" si="11"/>
        <v>14.832903127520682</v>
      </c>
      <c r="AD42" s="44">
        <f t="shared" si="12"/>
        <v>14.832903127520682</v>
      </c>
      <c r="AE42" s="44">
        <f t="shared" si="13"/>
        <v>36.221960341030375</v>
      </c>
      <c r="AF42" s="44">
        <f t="shared" si="14"/>
        <v>36.221960341030375</v>
      </c>
      <c r="AG42" s="44">
        <f t="shared" si="17"/>
        <v>-4.8948595055446482</v>
      </c>
      <c r="AH42" s="57">
        <f t="shared" si="18"/>
        <v>-13.509812235303222</v>
      </c>
      <c r="AI42" s="38"/>
      <c r="AJ42" s="56">
        <f t="shared" si="15"/>
        <v>0</v>
      </c>
      <c r="AK42" s="58">
        <f t="shared" si="16"/>
        <v>0</v>
      </c>
      <c r="AL42" s="38"/>
    </row>
    <row r="43" spans="1:38" x14ac:dyDescent="0.25">
      <c r="A43" s="41"/>
      <c r="B43" s="40"/>
      <c r="C43" s="40"/>
      <c r="D43" s="40"/>
      <c r="E43" s="40"/>
      <c r="F43" s="40"/>
      <c r="G43" s="40"/>
      <c r="H43" s="40"/>
      <c r="I43" s="38"/>
      <c r="J43" s="38"/>
      <c r="K43" s="38"/>
      <c r="L43" s="38"/>
      <c r="M43" s="38" t="s">
        <v>68</v>
      </c>
      <c r="N43" s="65">
        <f>D22</f>
        <v>15.663550417742863</v>
      </c>
      <c r="O43" s="65">
        <f>F22</f>
        <v>11.356074052863574</v>
      </c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56">
        <v>9.5</v>
      </c>
      <c r="AB43" s="51">
        <f t="shared" si="10"/>
        <v>9500</v>
      </c>
      <c r="AC43" s="44">
        <f t="shared" si="11"/>
        <v>14.051317231636714</v>
      </c>
      <c r="AD43" s="44">
        <f t="shared" si="12"/>
        <v>14.051317231636714</v>
      </c>
      <c r="AE43" s="44">
        <f t="shared" si="13"/>
        <v>37.200932242139302</v>
      </c>
      <c r="AF43" s="44">
        <f t="shared" si="14"/>
        <v>37.200932242139302</v>
      </c>
      <c r="AG43" s="44">
        <f t="shared" si="17"/>
        <v>-5.8738314066535757</v>
      </c>
      <c r="AH43" s="57">
        <f t="shared" si="18"/>
        <v>-14.48878413641215</v>
      </c>
      <c r="AI43" s="38"/>
      <c r="AJ43" s="56">
        <f t="shared" si="15"/>
        <v>0</v>
      </c>
      <c r="AK43" s="58">
        <f t="shared" si="16"/>
        <v>0</v>
      </c>
      <c r="AL43" s="38"/>
    </row>
    <row r="44" spans="1:38" x14ac:dyDescent="0.25">
      <c r="A44" s="41"/>
      <c r="B44" s="40"/>
      <c r="C44" s="40"/>
      <c r="D44" s="40"/>
      <c r="E44" s="40"/>
      <c r="F44" s="40"/>
      <c r="G44" s="40"/>
      <c r="H44" s="40"/>
      <c r="I44" s="38"/>
      <c r="J44" s="38"/>
      <c r="K44" s="38"/>
      <c r="L44" s="38"/>
      <c r="M44" s="44" t="s">
        <v>70</v>
      </c>
      <c r="N44" s="44">
        <f>MATCH(N42,$AB$5:$AB$73,1)-1</f>
        <v>16</v>
      </c>
      <c r="O44" s="44">
        <f>MATCH(O42,$AB$5:$AB$73,1)-1</f>
        <v>11</v>
      </c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43"/>
      <c r="AA44" s="56">
        <v>9.75</v>
      </c>
      <c r="AB44" s="51">
        <f t="shared" si="10"/>
        <v>9750</v>
      </c>
      <c r="AC44" s="44">
        <f t="shared" si="11"/>
        <v>13.301697131109734</v>
      </c>
      <c r="AD44" s="44">
        <f t="shared" si="12"/>
        <v>13.301697131109734</v>
      </c>
      <c r="AE44" s="44">
        <f t="shared" si="13"/>
        <v>38.17990414324823</v>
      </c>
      <c r="AF44" s="44">
        <f t="shared" si="14"/>
        <v>38.17990414324823</v>
      </c>
      <c r="AG44" s="44">
        <f t="shared" si="17"/>
        <v>-6.8528033077625032</v>
      </c>
      <c r="AH44" s="57">
        <f t="shared" si="18"/>
        <v>-15.467756037521077</v>
      </c>
      <c r="AI44" s="38"/>
      <c r="AJ44" s="56">
        <f t="shared" si="15"/>
        <v>0</v>
      </c>
      <c r="AK44" s="58">
        <f t="shared" si="16"/>
        <v>0</v>
      </c>
      <c r="AL44" s="38"/>
    </row>
    <row r="45" spans="1:38" ht="21" x14ac:dyDescent="0.35">
      <c r="A45" s="5">
        <v>4</v>
      </c>
      <c r="B45" s="6" t="s">
        <v>79</v>
      </c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44" t="s">
        <v>72</v>
      </c>
      <c r="N45" s="70">
        <f ca="1">OFFSET(AC$4,N$44,0)</f>
        <v>35.572760337038936</v>
      </c>
      <c r="O45" s="70">
        <f ca="1">OFFSET(AD$4,O$44,0)</f>
        <v>35.520680558008564</v>
      </c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56">
        <v>10</v>
      </c>
      <c r="AB45" s="51">
        <f t="shared" si="10"/>
        <v>10000</v>
      </c>
      <c r="AC45" s="44">
        <f t="shared" si="11"/>
        <v>12.583789511182955</v>
      </c>
      <c r="AD45" s="44">
        <f t="shared" si="12"/>
        <v>12.583789511182955</v>
      </c>
      <c r="AE45" s="44">
        <f t="shared" si="13"/>
        <v>39.158876044357157</v>
      </c>
      <c r="AF45" s="44">
        <f t="shared" si="14"/>
        <v>39.158876044357157</v>
      </c>
      <c r="AG45" s="44">
        <f t="shared" si="17"/>
        <v>-7.8317752088714307</v>
      </c>
      <c r="AH45" s="57">
        <f t="shared" si="18"/>
        <v>-16.446727938630005</v>
      </c>
      <c r="AI45" s="38"/>
      <c r="AJ45" s="56">
        <f t="shared" si="15"/>
        <v>0</v>
      </c>
      <c r="AK45" s="58">
        <f t="shared" si="16"/>
        <v>0</v>
      </c>
      <c r="AL45" s="38"/>
    </row>
    <row r="46" spans="1:38" ht="18.75" x14ac:dyDescent="0.3">
      <c r="A46" s="16"/>
      <c r="B46" s="40"/>
      <c r="C46" s="40"/>
      <c r="D46" s="1" t="s">
        <v>80</v>
      </c>
      <c r="E46" s="40"/>
      <c r="F46" s="1" t="s">
        <v>81</v>
      </c>
      <c r="G46" s="40"/>
      <c r="H46" s="40"/>
      <c r="I46" s="38"/>
      <c r="J46" s="38"/>
      <c r="K46" s="38"/>
      <c r="L46" s="38"/>
      <c r="M46" s="44" t="s">
        <v>75</v>
      </c>
      <c r="N46" s="70">
        <f ca="1">OFFSET(AC$4,N$44+1,0)</f>
        <v>34.998972609349906</v>
      </c>
      <c r="O46" s="70">
        <f ca="1">OFFSET(AD$4,O$44+1,0)</f>
        <v>36.039849528212805</v>
      </c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75"/>
      <c r="AA46" s="56">
        <v>10.25</v>
      </c>
      <c r="AB46" s="51">
        <f t="shared" si="10"/>
        <v>10250</v>
      </c>
      <c r="AC46" s="44">
        <f t="shared" si="11"/>
        <v>11.897187783850621</v>
      </c>
      <c r="AD46" s="44">
        <f t="shared" si="12"/>
        <v>11.897187783850621</v>
      </c>
      <c r="AE46" s="44">
        <f t="shared" si="13"/>
        <v>40.137847945466092</v>
      </c>
      <c r="AF46" s="44">
        <f t="shared" si="14"/>
        <v>40.137847945466092</v>
      </c>
      <c r="AG46" s="44">
        <f t="shared" si="17"/>
        <v>-8.8107471099803583</v>
      </c>
      <c r="AH46" s="57">
        <f t="shared" si="18"/>
        <v>-17.425699839738932</v>
      </c>
      <c r="AI46" s="38"/>
      <c r="AJ46" s="56">
        <f t="shared" si="15"/>
        <v>0</v>
      </c>
      <c r="AK46" s="58">
        <f t="shared" si="16"/>
        <v>0</v>
      </c>
      <c r="AL46" s="38"/>
    </row>
    <row r="47" spans="1:38" ht="18.75" x14ac:dyDescent="0.3">
      <c r="A47" s="16" t="s">
        <v>82</v>
      </c>
      <c r="B47" s="1" t="s">
        <v>83</v>
      </c>
      <c r="C47" s="40"/>
      <c r="D47" s="76" t="str">
        <f>IF(AJ74&gt;3,"Yes","No")</f>
        <v>No</v>
      </c>
      <c r="E47" s="40"/>
      <c r="F47" s="76" t="str">
        <f>IF(AK74&gt;3,"Yes","No")</f>
        <v>No</v>
      </c>
      <c r="G47" s="40"/>
      <c r="H47" s="40"/>
      <c r="I47" s="38"/>
      <c r="J47" s="38"/>
      <c r="K47" s="38"/>
      <c r="L47" s="38"/>
      <c r="M47" s="44" t="s">
        <v>77</v>
      </c>
      <c r="N47" s="38">
        <f ca="1">IF(MIN(N45,N46)&gt;N43,0,1)</f>
        <v>0</v>
      </c>
      <c r="O47" s="38">
        <f ca="1">IF(MIN(O45,O46)&gt;O43,0,1)</f>
        <v>0</v>
      </c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56">
        <v>10.5</v>
      </c>
      <c r="AB47" s="51">
        <f t="shared" si="10"/>
        <v>10500</v>
      </c>
      <c r="AC47" s="44">
        <f t="shared" si="11"/>
        <v>11.241357408824573</v>
      </c>
      <c r="AD47" s="44">
        <f t="shared" si="12"/>
        <v>11.241357408824573</v>
      </c>
      <c r="AE47" s="44">
        <f t="shared" si="13"/>
        <v>41.116819846575019</v>
      </c>
      <c r="AF47" s="44">
        <f t="shared" si="14"/>
        <v>41.116819846575019</v>
      </c>
      <c r="AG47" s="44">
        <f t="shared" si="17"/>
        <v>-9.7897190110892858</v>
      </c>
      <c r="AH47" s="57">
        <f t="shared" si="18"/>
        <v>-18.40467174084786</v>
      </c>
      <c r="AI47" s="38"/>
      <c r="AJ47" s="56">
        <f t="shared" si="15"/>
        <v>0</v>
      </c>
      <c r="AK47" s="58">
        <f t="shared" si="16"/>
        <v>0</v>
      </c>
      <c r="AL47" s="38"/>
    </row>
    <row r="48" spans="1:38" ht="20.25" customHeight="1" x14ac:dyDescent="0.3">
      <c r="A48" s="16"/>
      <c r="B48" s="2" t="s">
        <v>84</v>
      </c>
      <c r="C48" s="17" t="s">
        <v>85</v>
      </c>
      <c r="D48" s="40"/>
      <c r="E48" s="40"/>
      <c r="F48" s="40"/>
      <c r="G48" s="40"/>
      <c r="H48" s="40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56">
        <v>10.75</v>
      </c>
      <c r="AB48" s="51">
        <f t="shared" si="10"/>
        <v>10750</v>
      </c>
      <c r="AC48" s="44">
        <f t="shared" si="11"/>
        <v>10.615658207074819</v>
      </c>
      <c r="AD48" s="44">
        <f t="shared" si="12"/>
        <v>10.615658207074819</v>
      </c>
      <c r="AE48" s="44">
        <f t="shared" si="13"/>
        <v>42.095791747683954</v>
      </c>
      <c r="AF48" s="44">
        <f t="shared" si="14"/>
        <v>42.095791747683954</v>
      </c>
      <c r="AG48" s="44">
        <f t="shared" si="17"/>
        <v>-10.76869091219822</v>
      </c>
      <c r="AH48" s="57">
        <f t="shared" si="18"/>
        <v>-19.383643641956795</v>
      </c>
      <c r="AI48" s="38"/>
      <c r="AJ48" s="56">
        <f t="shared" si="15"/>
        <v>0</v>
      </c>
      <c r="AK48" s="58">
        <f t="shared" si="16"/>
        <v>0</v>
      </c>
      <c r="AL48" s="38"/>
    </row>
    <row r="49" spans="1:38" ht="20.25" customHeight="1" x14ac:dyDescent="0.3">
      <c r="A49" s="16"/>
      <c r="B49" s="40"/>
      <c r="C49" s="17" t="s">
        <v>86</v>
      </c>
      <c r="D49" s="40"/>
      <c r="E49" s="40"/>
      <c r="F49" s="40"/>
      <c r="G49" s="40"/>
      <c r="H49" s="40"/>
      <c r="I49" s="38"/>
      <c r="J49" s="38"/>
      <c r="K49" s="38"/>
      <c r="L49" s="38"/>
      <c r="M49" s="10" t="s">
        <v>47</v>
      </c>
      <c r="N49" s="38"/>
      <c r="O49" s="38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70"/>
      <c r="AA49" s="56">
        <v>11</v>
      </c>
      <c r="AB49" s="51">
        <f t="shared" si="10"/>
        <v>11000</v>
      </c>
      <c r="AC49" s="44">
        <f t="shared" si="11"/>
        <v>10.019363981265339</v>
      </c>
      <c r="AD49" s="44">
        <f t="shared" si="12"/>
        <v>10.019363981265339</v>
      </c>
      <c r="AE49" s="44">
        <f t="shared" si="13"/>
        <v>43.074763648792874</v>
      </c>
      <c r="AF49" s="44">
        <f t="shared" si="14"/>
        <v>43.074763648792874</v>
      </c>
      <c r="AG49" s="44">
        <f t="shared" si="17"/>
        <v>-11.747662813307148</v>
      </c>
      <c r="AH49" s="57">
        <f t="shared" si="18"/>
        <v>-20.362615543065722</v>
      </c>
      <c r="AI49" s="38"/>
      <c r="AJ49" s="56">
        <f t="shared" si="15"/>
        <v>0</v>
      </c>
      <c r="AK49" s="58">
        <f t="shared" si="16"/>
        <v>0</v>
      </c>
      <c r="AL49" s="38"/>
    </row>
    <row r="50" spans="1:38" x14ac:dyDescent="0.25">
      <c r="A50" s="40"/>
      <c r="B50" s="40"/>
      <c r="C50" s="17" t="s">
        <v>87</v>
      </c>
      <c r="D50" s="40"/>
      <c r="E50" s="40"/>
      <c r="F50" s="40"/>
      <c r="G50" s="40"/>
      <c r="H50" s="40"/>
      <c r="I50" s="38"/>
      <c r="J50" s="38"/>
      <c r="K50" s="38"/>
      <c r="L50" s="38"/>
      <c r="M50" s="44">
        <f>(2.2*24)/3.28^2</f>
        <v>4.9077929803688294</v>
      </c>
      <c r="N50" s="38" t="s">
        <v>52</v>
      </c>
      <c r="O50" s="38" t="s">
        <v>53</v>
      </c>
      <c r="P50" s="38"/>
      <c r="Q50" s="38"/>
      <c r="R50" s="38"/>
      <c r="S50" s="38"/>
      <c r="T50" s="38"/>
      <c r="U50" s="38"/>
      <c r="V50" s="38"/>
      <c r="W50" s="38"/>
      <c r="X50" s="38"/>
      <c r="Y50" s="38"/>
      <c r="Z50" s="70"/>
      <c r="AA50" s="56">
        <v>11.25</v>
      </c>
      <c r="AB50" s="51">
        <f t="shared" si="10"/>
        <v>11250</v>
      </c>
      <c r="AC50" s="44">
        <f t="shared" si="11"/>
        <v>9.4516797267302692</v>
      </c>
      <c r="AD50" s="44">
        <f t="shared" si="12"/>
        <v>9.4516797267302692</v>
      </c>
      <c r="AE50" s="44">
        <f t="shared" si="13"/>
        <v>44.053735549901809</v>
      </c>
      <c r="AF50" s="44">
        <f t="shared" si="14"/>
        <v>44.053735549901809</v>
      </c>
      <c r="AG50" s="44">
        <f t="shared" si="17"/>
        <v>-12.726634714416068</v>
      </c>
      <c r="AH50" s="57">
        <f t="shared" si="18"/>
        <v>-21.341587444174642</v>
      </c>
      <c r="AI50" s="38"/>
      <c r="AJ50" s="56">
        <f t="shared" si="15"/>
        <v>0</v>
      </c>
      <c r="AK50" s="58">
        <f t="shared" si="16"/>
        <v>0</v>
      </c>
      <c r="AL50" s="38"/>
    </row>
    <row r="51" spans="1:38" x14ac:dyDescent="0.25">
      <c r="A51" s="40"/>
      <c r="B51" s="40"/>
      <c r="C51" s="40"/>
      <c r="D51" s="40"/>
      <c r="E51" s="40"/>
      <c r="F51" s="40"/>
      <c r="G51" s="40"/>
      <c r="H51" s="40"/>
      <c r="I51" s="38"/>
      <c r="J51" s="38"/>
      <c r="K51" s="38"/>
      <c r="L51" s="38"/>
      <c r="M51" s="43">
        <f>7.48*3.28*24</f>
        <v>588.82560000000001</v>
      </c>
      <c r="N51" s="38" t="s">
        <v>55</v>
      </c>
      <c r="O51" s="38" t="s">
        <v>56</v>
      </c>
      <c r="P51" s="38"/>
      <c r="Q51" s="38"/>
      <c r="R51" s="38"/>
      <c r="S51" s="38"/>
      <c r="T51" s="38"/>
      <c r="U51" s="38"/>
      <c r="V51" s="38"/>
      <c r="W51" s="38"/>
      <c r="X51" s="38"/>
      <c r="Y51" s="38"/>
      <c r="Z51" s="70"/>
      <c r="AA51" s="56">
        <v>11.5</v>
      </c>
      <c r="AB51" s="51">
        <f t="shared" si="10"/>
        <v>11500</v>
      </c>
      <c r="AC51" s="44">
        <f t="shared" si="11"/>
        <v>8.9117566888277437</v>
      </c>
      <c r="AD51" s="44">
        <f t="shared" si="12"/>
        <v>8.9117566888277437</v>
      </c>
      <c r="AE51" s="44">
        <f t="shared" si="13"/>
        <v>45.032707451010737</v>
      </c>
      <c r="AF51" s="44">
        <f t="shared" si="14"/>
        <v>45.032707451010737</v>
      </c>
      <c r="AG51" s="44">
        <f t="shared" si="17"/>
        <v>-13.705606615525003</v>
      </c>
      <c r="AH51" s="57">
        <f t="shared" si="18"/>
        <v>-22.320559345283577</v>
      </c>
      <c r="AI51" s="38"/>
      <c r="AJ51" s="56">
        <f t="shared" si="15"/>
        <v>0</v>
      </c>
      <c r="AK51" s="58">
        <f t="shared" si="16"/>
        <v>0</v>
      </c>
      <c r="AL51" s="38"/>
    </row>
    <row r="52" spans="1:38" ht="18.75" x14ac:dyDescent="0.3">
      <c r="A52" s="16" t="s">
        <v>88</v>
      </c>
      <c r="B52" s="1" t="s">
        <v>89</v>
      </c>
      <c r="C52" s="40"/>
      <c r="D52" s="76" t="str">
        <f ca="1">IF(N47=1,"Yes","No")</f>
        <v>No</v>
      </c>
      <c r="E52" s="40"/>
      <c r="F52" s="76" t="str">
        <f ca="1">IF(O47=1,"Yes","No")</f>
        <v>No</v>
      </c>
      <c r="G52" s="40"/>
      <c r="H52" s="40"/>
      <c r="I52" s="38"/>
      <c r="J52" s="38"/>
      <c r="K52" s="38"/>
      <c r="L52" s="38"/>
      <c r="M52" s="51">
        <f>10^6/(7.48*3.28^3)</f>
        <v>3788.5835654508578</v>
      </c>
      <c r="N52" s="38" t="s">
        <v>24</v>
      </c>
      <c r="O52" s="38" t="s">
        <v>59</v>
      </c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70"/>
      <c r="AA52" s="56">
        <v>11.75</v>
      </c>
      <c r="AB52" s="51">
        <f t="shared" si="10"/>
        <v>11750</v>
      </c>
      <c r="AC52" s="44">
        <f t="shared" si="11"/>
        <v>8.3987054973090061</v>
      </c>
      <c r="AD52" s="44">
        <f t="shared" si="12"/>
        <v>8.3987054973090061</v>
      </c>
      <c r="AE52" s="44">
        <f t="shared" si="13"/>
        <v>46.011679352119671</v>
      </c>
      <c r="AF52" s="44">
        <f t="shared" si="14"/>
        <v>46.011679352119671</v>
      </c>
      <c r="AG52" s="44">
        <f t="shared" si="17"/>
        <v>-14.68457851663393</v>
      </c>
      <c r="AH52" s="57">
        <f t="shared" si="18"/>
        <v>-23.299531246392505</v>
      </c>
      <c r="AI52" s="38"/>
      <c r="AJ52" s="56">
        <f t="shared" si="15"/>
        <v>0</v>
      </c>
      <c r="AK52" s="58">
        <f t="shared" si="16"/>
        <v>0</v>
      </c>
      <c r="AL52" s="38"/>
    </row>
    <row r="53" spans="1:38" ht="18.75" x14ac:dyDescent="0.3">
      <c r="A53" s="16"/>
      <c r="B53" s="2" t="s">
        <v>90</v>
      </c>
      <c r="C53" s="17" t="s">
        <v>91</v>
      </c>
      <c r="D53" s="76"/>
      <c r="E53" s="40"/>
      <c r="F53" s="76"/>
      <c r="G53" s="40"/>
      <c r="H53" s="40"/>
      <c r="I53" s="38"/>
      <c r="J53" s="38"/>
      <c r="K53" s="38"/>
      <c r="L53" s="38"/>
      <c r="M53" s="38"/>
      <c r="N53" s="38"/>
      <c r="O53" s="38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70"/>
      <c r="AA53" s="56">
        <v>12</v>
      </c>
      <c r="AB53" s="51">
        <f t="shared" si="10"/>
        <v>12000</v>
      </c>
      <c r="AC53" s="44">
        <f t="shared" si="11"/>
        <v>7.9116075855111756</v>
      </c>
      <c r="AD53" s="44">
        <f t="shared" si="12"/>
        <v>7.9116075855111756</v>
      </c>
      <c r="AE53" s="44">
        <f t="shared" si="13"/>
        <v>46.990651253228599</v>
      </c>
      <c r="AF53" s="44">
        <f t="shared" si="14"/>
        <v>46.990651253228599</v>
      </c>
      <c r="AG53" s="44">
        <f t="shared" si="17"/>
        <v>-15.663550417742865</v>
      </c>
      <c r="AH53" s="57">
        <f t="shared" si="18"/>
        <v>-24.278503147501439</v>
      </c>
      <c r="AI53" s="38"/>
      <c r="AJ53" s="56">
        <f t="shared" si="15"/>
        <v>0</v>
      </c>
      <c r="AK53" s="58">
        <f t="shared" si="16"/>
        <v>0</v>
      </c>
      <c r="AL53" s="38"/>
    </row>
    <row r="54" spans="1:38" ht="18.75" x14ac:dyDescent="0.3">
      <c r="A54" s="16"/>
      <c r="B54" s="2"/>
      <c r="C54" s="17" t="s">
        <v>92</v>
      </c>
      <c r="D54" s="76"/>
      <c r="E54" s="40"/>
      <c r="F54" s="76"/>
      <c r="G54" s="40"/>
      <c r="H54" s="40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  <c r="Z54" s="70"/>
      <c r="AA54" s="56">
        <v>12.25</v>
      </c>
      <c r="AB54" s="51">
        <f t="shared" si="10"/>
        <v>12250</v>
      </c>
      <c r="AC54" s="44">
        <f t="shared" si="11"/>
        <v>7.4495250815074394</v>
      </c>
      <c r="AD54" s="44">
        <f t="shared" si="12"/>
        <v>7.4495250815074394</v>
      </c>
      <c r="AE54" s="44">
        <f t="shared" si="13"/>
        <v>47.969623154337519</v>
      </c>
      <c r="AF54" s="44">
        <f t="shared" si="14"/>
        <v>47.969623154337519</v>
      </c>
      <c r="AG54" s="44">
        <f t="shared" si="17"/>
        <v>-16.642522318851793</v>
      </c>
      <c r="AH54" s="57">
        <f t="shared" si="18"/>
        <v>-25.257475048610367</v>
      </c>
      <c r="AI54" s="38"/>
      <c r="AJ54" s="56">
        <f t="shared" si="15"/>
        <v>0</v>
      </c>
      <c r="AK54" s="58">
        <f t="shared" si="16"/>
        <v>0</v>
      </c>
      <c r="AL54" s="38"/>
    </row>
    <row r="55" spans="1:38" ht="20.25" customHeight="1" x14ac:dyDescent="0.3">
      <c r="A55" s="16"/>
      <c r="B55" s="40"/>
      <c r="C55" s="17" t="s">
        <v>93</v>
      </c>
      <c r="D55" s="76"/>
      <c r="E55" s="40"/>
      <c r="F55" s="76"/>
      <c r="G55" s="40"/>
      <c r="H55" s="40"/>
      <c r="I55" s="38"/>
      <c r="J55" s="38"/>
      <c r="K55" s="38"/>
      <c r="L55" s="38"/>
      <c r="M55" s="38"/>
      <c r="N55" s="43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  <c r="Z55" s="70"/>
      <c r="AA55" s="56">
        <v>12.5</v>
      </c>
      <c r="AB55" s="51">
        <f t="shared" si="10"/>
        <v>12500</v>
      </c>
      <c r="AC55" s="44">
        <f t="shared" si="11"/>
        <v>7.0115093396313126</v>
      </c>
      <c r="AD55" s="44">
        <f t="shared" si="12"/>
        <v>7.0115093396313126</v>
      </c>
      <c r="AE55" s="44">
        <f t="shared" si="13"/>
        <v>48.948595055446454</v>
      </c>
      <c r="AF55" s="44">
        <f t="shared" si="14"/>
        <v>48.948595055446454</v>
      </c>
      <c r="AG55" s="44">
        <f t="shared" si="17"/>
        <v>-17.62149421996072</v>
      </c>
      <c r="AH55" s="57">
        <f t="shared" si="18"/>
        <v>-26.236446949719294</v>
      </c>
      <c r="AI55" s="38"/>
      <c r="AJ55" s="56">
        <f t="shared" si="15"/>
        <v>0</v>
      </c>
      <c r="AK55" s="58">
        <f t="shared" si="16"/>
        <v>0</v>
      </c>
      <c r="AL55" s="38"/>
    </row>
    <row r="56" spans="1:38" x14ac:dyDescent="0.25">
      <c r="A56" s="40"/>
      <c r="B56" s="40"/>
      <c r="C56" s="17" t="s">
        <v>87</v>
      </c>
      <c r="D56" s="40"/>
      <c r="E56" s="40"/>
      <c r="F56" s="40"/>
      <c r="G56" s="40"/>
      <c r="H56" s="40"/>
      <c r="I56" s="38"/>
      <c r="J56" s="38"/>
      <c r="K56" s="38"/>
      <c r="L56" s="38"/>
      <c r="M56" s="38"/>
      <c r="N56" s="74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70"/>
      <c r="AA56" s="56">
        <v>12.75</v>
      </c>
      <c r="AB56" s="51">
        <f t="shared" si="10"/>
        <v>12750</v>
      </c>
      <c r="AC56" s="44">
        <f t="shared" si="11"/>
        <v>6.5966082638526045</v>
      </c>
      <c r="AD56" s="44">
        <f t="shared" si="12"/>
        <v>6.5966082638526045</v>
      </c>
      <c r="AE56" s="44">
        <f t="shared" si="13"/>
        <v>49.927566956555381</v>
      </c>
      <c r="AF56" s="44">
        <f t="shared" si="14"/>
        <v>49.927566956555381</v>
      </c>
      <c r="AG56" s="44">
        <f t="shared" si="17"/>
        <v>-18.600466121069648</v>
      </c>
      <c r="AH56" s="57">
        <f t="shared" si="18"/>
        <v>-27.215418850828222</v>
      </c>
      <c r="AI56" s="38"/>
      <c r="AJ56" s="56">
        <f t="shared" si="15"/>
        <v>0</v>
      </c>
      <c r="AK56" s="58">
        <f t="shared" si="16"/>
        <v>0</v>
      </c>
      <c r="AL56" s="38"/>
    </row>
    <row r="57" spans="1:38" ht="18.75" x14ac:dyDescent="0.3">
      <c r="A57" s="16"/>
      <c r="B57" s="40"/>
      <c r="C57" s="17"/>
      <c r="D57" s="76"/>
      <c r="E57" s="40"/>
      <c r="F57" s="76"/>
      <c r="G57" s="40"/>
      <c r="H57" s="40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  <c r="Z57" s="77"/>
      <c r="AA57" s="56">
        <v>13</v>
      </c>
      <c r="AB57" s="51">
        <f t="shared" si="10"/>
        <v>13000</v>
      </c>
      <c r="AC57" s="44">
        <f t="shared" si="11"/>
        <v>6.2038725591588193</v>
      </c>
      <c r="AD57" s="44">
        <f t="shared" si="12"/>
        <v>6.2038725591588193</v>
      </c>
      <c r="AE57" s="44">
        <f t="shared" si="13"/>
        <v>50.906538857664316</v>
      </c>
      <c r="AF57" s="44">
        <f t="shared" si="14"/>
        <v>50.906538857664316</v>
      </c>
      <c r="AG57" s="44">
        <f t="shared" si="17"/>
        <v>-19.579438022178582</v>
      </c>
      <c r="AH57" s="57">
        <f t="shared" si="18"/>
        <v>-28.194390751937156</v>
      </c>
      <c r="AI57" s="38"/>
      <c r="AJ57" s="56">
        <f t="shared" si="15"/>
        <v>0</v>
      </c>
      <c r="AK57" s="58">
        <f t="shared" si="16"/>
        <v>0</v>
      </c>
      <c r="AL57" s="38"/>
    </row>
    <row r="58" spans="1:38" ht="18.75" x14ac:dyDescent="0.3">
      <c r="A58" s="16" t="s">
        <v>94</v>
      </c>
      <c r="B58" s="1" t="s">
        <v>95</v>
      </c>
      <c r="C58" s="40"/>
      <c r="D58" s="76" t="str">
        <f ca="1">IF(AND(AJ74=0,N47=0),"Yes","No")</f>
        <v>Yes</v>
      </c>
      <c r="E58" s="40"/>
      <c r="F58" s="76" t="str">
        <f ca="1">IF(AND(AK74=0,O47=0),"Yes","No")</f>
        <v>Yes</v>
      </c>
      <c r="G58" s="40"/>
      <c r="H58" s="40"/>
      <c r="I58" s="38"/>
      <c r="J58" s="38"/>
      <c r="K58" s="38"/>
      <c r="L58" s="38"/>
      <c r="M58" s="38"/>
      <c r="N58" s="44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77"/>
      <c r="AA58" s="56">
        <v>13.25</v>
      </c>
      <c r="AB58" s="51">
        <f t="shared" si="10"/>
        <v>13250</v>
      </c>
      <c r="AC58" s="44">
        <f t="shared" si="11"/>
        <v>5.832361033237909</v>
      </c>
      <c r="AD58" s="44">
        <f t="shared" si="12"/>
        <v>5.832361033237909</v>
      </c>
      <c r="AE58" s="44">
        <f t="shared" si="13"/>
        <v>51.885510758773236</v>
      </c>
      <c r="AF58" s="44">
        <f t="shared" si="14"/>
        <v>51.885510758773236</v>
      </c>
      <c r="AG58" s="44">
        <f t="shared" si="17"/>
        <v>-20.55840992328751</v>
      </c>
      <c r="AH58" s="57">
        <f t="shared" si="18"/>
        <v>-29.173362653046084</v>
      </c>
      <c r="AI58" s="38"/>
      <c r="AJ58" s="56">
        <f t="shared" si="15"/>
        <v>0</v>
      </c>
      <c r="AK58" s="58">
        <f t="shared" si="16"/>
        <v>0</v>
      </c>
      <c r="AL58" s="38"/>
    </row>
    <row r="59" spans="1:38" ht="18.75" x14ac:dyDescent="0.3">
      <c r="A59" s="16"/>
      <c r="B59" s="2" t="s">
        <v>96</v>
      </c>
      <c r="C59" s="17" t="s">
        <v>97</v>
      </c>
      <c r="D59" s="76"/>
      <c r="E59" s="40"/>
      <c r="F59" s="76"/>
      <c r="G59" s="40"/>
      <c r="H59" s="40"/>
      <c r="I59" s="38"/>
      <c r="J59" s="38"/>
      <c r="K59" s="38"/>
      <c r="L59" s="38"/>
      <c r="M59" s="38"/>
      <c r="N59" s="44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56">
        <v>13.5</v>
      </c>
      <c r="AB59" s="51">
        <f t="shared" si="10"/>
        <v>13500</v>
      </c>
      <c r="AC59" s="44">
        <f t="shared" si="11"/>
        <v>5.4811450582316272</v>
      </c>
      <c r="AD59" s="44">
        <f t="shared" si="12"/>
        <v>5.4811450582316272</v>
      </c>
      <c r="AE59" s="44">
        <f t="shared" si="13"/>
        <v>52.864482659882171</v>
      </c>
      <c r="AF59" s="44">
        <f t="shared" si="14"/>
        <v>52.864482659882171</v>
      </c>
      <c r="AG59" s="44">
        <f t="shared" si="17"/>
        <v>-21.53738182439643</v>
      </c>
      <c r="AH59" s="57">
        <f t="shared" si="18"/>
        <v>-30.152334554155004</v>
      </c>
      <c r="AI59" s="38"/>
      <c r="AJ59" s="56">
        <f t="shared" si="15"/>
        <v>0</v>
      </c>
      <c r="AK59" s="58">
        <f t="shared" si="16"/>
        <v>0</v>
      </c>
      <c r="AL59" s="38"/>
    </row>
    <row r="60" spans="1:38" ht="18.75" x14ac:dyDescent="0.3">
      <c r="A60" s="16"/>
      <c r="B60" s="2" t="s">
        <v>98</v>
      </c>
      <c r="C60" s="40"/>
      <c r="D60" s="76"/>
      <c r="E60" s="40"/>
      <c r="F60" s="76"/>
      <c r="G60" s="40"/>
      <c r="H60" s="40"/>
      <c r="I60" s="38"/>
      <c r="J60" s="38"/>
      <c r="K60" s="38"/>
      <c r="L60" s="38"/>
      <c r="M60" s="38"/>
      <c r="N60" s="44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  <c r="Z60" s="38"/>
      <c r="AA60" s="56">
        <v>13.75</v>
      </c>
      <c r="AB60" s="51">
        <f t="shared" si="10"/>
        <v>13750</v>
      </c>
      <c r="AC60" s="44">
        <f t="shared" si="11"/>
        <v>5.1493122910097435</v>
      </c>
      <c r="AD60" s="44">
        <f t="shared" si="12"/>
        <v>5.1493122910097435</v>
      </c>
      <c r="AE60" s="44">
        <f t="shared" si="13"/>
        <v>53.843454560991098</v>
      </c>
      <c r="AF60" s="44">
        <f t="shared" si="14"/>
        <v>53.843454560991098</v>
      </c>
      <c r="AG60" s="44">
        <f t="shared" si="17"/>
        <v>-22.516353725505365</v>
      </c>
      <c r="AH60" s="57">
        <f t="shared" si="18"/>
        <v>-31.131306455263939</v>
      </c>
      <c r="AI60" s="38"/>
      <c r="AJ60" s="56">
        <f t="shared" si="15"/>
        <v>0</v>
      </c>
      <c r="AK60" s="58">
        <f t="shared" si="16"/>
        <v>0</v>
      </c>
      <c r="AL60" s="38"/>
    </row>
    <row r="61" spans="1:38" ht="18.75" x14ac:dyDescent="0.3">
      <c r="A61" s="16"/>
      <c r="B61" s="2"/>
      <c r="C61" s="40"/>
      <c r="D61" s="76"/>
      <c r="E61" s="40"/>
      <c r="F61" s="76"/>
      <c r="G61" s="40"/>
      <c r="H61" s="40"/>
      <c r="I61" s="38"/>
      <c r="J61" s="38"/>
      <c r="K61" s="38"/>
      <c r="L61" s="38"/>
      <c r="M61" s="38"/>
      <c r="N61" s="44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  <c r="Z61" s="38"/>
      <c r="AA61" s="56">
        <v>14</v>
      </c>
      <c r="AB61" s="51">
        <f t="shared" si="10"/>
        <v>14000</v>
      </c>
      <c r="AC61" s="44">
        <f t="shared" si="11"/>
        <v>4.8359697401924118</v>
      </c>
      <c r="AD61" s="44">
        <f t="shared" si="12"/>
        <v>4.8359697401924118</v>
      </c>
      <c r="AE61" s="44">
        <f t="shared" si="13"/>
        <v>54.822426462100019</v>
      </c>
      <c r="AF61" s="44">
        <f t="shared" si="14"/>
        <v>54.822426462100019</v>
      </c>
      <c r="AG61" s="44">
        <f t="shared" si="17"/>
        <v>-23.495325626614292</v>
      </c>
      <c r="AH61" s="57">
        <f t="shared" si="18"/>
        <v>-32.110278356372866</v>
      </c>
      <c r="AI61" s="38"/>
      <c r="AJ61" s="56">
        <f t="shared" si="15"/>
        <v>0</v>
      </c>
      <c r="AK61" s="58">
        <f t="shared" si="16"/>
        <v>0</v>
      </c>
      <c r="AL61" s="38"/>
    </row>
    <row r="62" spans="1:38" ht="18.75" x14ac:dyDescent="0.3">
      <c r="A62" s="16" t="s">
        <v>99</v>
      </c>
      <c r="B62" s="1" t="s">
        <v>100</v>
      </c>
      <c r="C62" s="40"/>
      <c r="D62" s="76" t="str">
        <f>IF(D14&gt;150,"Yes","No")</f>
        <v>No</v>
      </c>
      <c r="E62" s="40"/>
      <c r="F62" s="76" t="str">
        <f>IF(F14&gt;150,"Yes","No")</f>
        <v>No</v>
      </c>
      <c r="G62" s="40"/>
      <c r="H62" s="40"/>
      <c r="I62" s="38"/>
      <c r="J62" s="38"/>
      <c r="K62" s="38"/>
      <c r="L62" s="38"/>
      <c r="M62" s="38"/>
      <c r="N62" s="44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  <c r="Z62" s="38"/>
      <c r="AA62" s="56">
        <v>14.5</v>
      </c>
      <c r="AB62" s="51">
        <f t="shared" si="10"/>
        <v>14500</v>
      </c>
      <c r="AC62" s="44">
        <f t="shared" si="11"/>
        <v>4.2612945340308954</v>
      </c>
      <c r="AD62" s="44">
        <f t="shared" si="12"/>
        <v>4.2612945340308954</v>
      </c>
      <c r="AE62" s="44">
        <f t="shared" si="13"/>
        <v>56.780370264317881</v>
      </c>
      <c r="AF62" s="44">
        <f t="shared" si="14"/>
        <v>56.780370264317881</v>
      </c>
      <c r="AG62" s="44">
        <f t="shared" si="17"/>
        <v>-25.453269428832147</v>
      </c>
      <c r="AH62" s="57">
        <f t="shared" si="18"/>
        <v>-34.068222158590721</v>
      </c>
      <c r="AI62" s="38"/>
      <c r="AJ62" s="56">
        <f t="shared" si="15"/>
        <v>0</v>
      </c>
      <c r="AK62" s="58">
        <f t="shared" si="16"/>
        <v>0</v>
      </c>
      <c r="AL62" s="38"/>
    </row>
    <row r="63" spans="1:38" ht="18.75" x14ac:dyDescent="0.3">
      <c r="A63" s="16"/>
      <c r="B63" s="2" t="s">
        <v>101</v>
      </c>
      <c r="C63" s="78">
        <v>150</v>
      </c>
      <c r="D63" s="79" t="s">
        <v>102</v>
      </c>
      <c r="E63" s="40"/>
      <c r="F63" s="76"/>
      <c r="G63" s="40"/>
      <c r="H63" s="40"/>
      <c r="I63" s="38"/>
      <c r="J63" s="38"/>
      <c r="K63" s="38"/>
      <c r="L63" s="38"/>
      <c r="M63" s="38"/>
      <c r="N63" s="44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  <c r="Z63" s="38"/>
      <c r="AA63" s="56">
        <v>15</v>
      </c>
      <c r="AB63" s="51">
        <f t="shared" si="10"/>
        <v>15000</v>
      </c>
      <c r="AC63" s="44">
        <f t="shared" si="11"/>
        <v>3.7504451778223555</v>
      </c>
      <c r="AD63" s="44">
        <f t="shared" si="12"/>
        <v>3.7504451778223555</v>
      </c>
      <c r="AE63" s="44">
        <f t="shared" si="13"/>
        <v>58.738314066535736</v>
      </c>
      <c r="AF63" s="44">
        <f t="shared" si="14"/>
        <v>58.738314066535736</v>
      </c>
      <c r="AG63" s="44">
        <f t="shared" si="17"/>
        <v>-27.411213231050009</v>
      </c>
      <c r="AH63" s="57">
        <f t="shared" si="18"/>
        <v>-36.026165960808584</v>
      </c>
      <c r="AI63" s="38"/>
      <c r="AJ63" s="56">
        <f t="shared" si="15"/>
        <v>0</v>
      </c>
      <c r="AK63" s="58">
        <f t="shared" si="16"/>
        <v>0</v>
      </c>
      <c r="AL63" s="38"/>
    </row>
    <row r="64" spans="1:38" ht="18.75" x14ac:dyDescent="0.3">
      <c r="A64" s="16"/>
      <c r="B64" s="2" t="s">
        <v>90</v>
      </c>
      <c r="C64" s="17" t="s">
        <v>103</v>
      </c>
      <c r="D64" s="76"/>
      <c r="E64" s="40"/>
      <c r="F64" s="76"/>
      <c r="G64" s="40"/>
      <c r="H64" s="40"/>
      <c r="I64" s="38"/>
      <c r="J64" s="38"/>
      <c r="K64" s="38"/>
      <c r="L64" s="38"/>
      <c r="M64" s="38"/>
      <c r="N64" s="44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38"/>
      <c r="AA64" s="56">
        <v>15.5</v>
      </c>
      <c r="AB64" s="51">
        <f t="shared" si="10"/>
        <v>15500</v>
      </c>
      <c r="AC64" s="44">
        <f t="shared" si="11"/>
        <v>3.2971694891329251</v>
      </c>
      <c r="AD64" s="44">
        <f t="shared" si="12"/>
        <v>3.2971694891329251</v>
      </c>
      <c r="AE64" s="44">
        <f t="shared" si="13"/>
        <v>60.696257868753598</v>
      </c>
      <c r="AF64" s="44">
        <f t="shared" si="14"/>
        <v>60.696257868753598</v>
      </c>
      <c r="AG64" s="44">
        <f t="shared" si="17"/>
        <v>-29.369157033267864</v>
      </c>
      <c r="AH64" s="57">
        <f t="shared" si="18"/>
        <v>-37.984109763026439</v>
      </c>
      <c r="AI64" s="38"/>
      <c r="AJ64" s="56">
        <f t="shared" si="15"/>
        <v>0</v>
      </c>
      <c r="AK64" s="58">
        <f t="shared" si="16"/>
        <v>0</v>
      </c>
      <c r="AL64" s="38"/>
    </row>
    <row r="65" spans="1:38" ht="18.75" x14ac:dyDescent="0.3">
      <c r="A65" s="16"/>
      <c r="B65" s="2"/>
      <c r="C65" s="17" t="s">
        <v>104</v>
      </c>
      <c r="D65" s="76"/>
      <c r="E65" s="40"/>
      <c r="F65" s="76"/>
      <c r="G65" s="40"/>
      <c r="H65" s="40"/>
      <c r="I65" s="38"/>
      <c r="J65" s="38"/>
      <c r="K65" s="38"/>
      <c r="L65" s="38"/>
      <c r="M65" s="38"/>
      <c r="N65" s="44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56">
        <v>16</v>
      </c>
      <c r="AB65" s="51">
        <f t="shared" si="10"/>
        <v>16000</v>
      </c>
      <c r="AC65" s="44">
        <f t="shared" si="11"/>
        <v>2.8956600111299</v>
      </c>
      <c r="AD65" s="44">
        <f t="shared" si="12"/>
        <v>2.8956600111299</v>
      </c>
      <c r="AE65" s="44">
        <f t="shared" si="13"/>
        <v>62.654201670971453</v>
      </c>
      <c r="AF65" s="44">
        <f t="shared" si="14"/>
        <v>62.654201670971453</v>
      </c>
      <c r="AG65" s="44">
        <f t="shared" si="17"/>
        <v>-31.327100835485727</v>
      </c>
      <c r="AH65" s="57">
        <f t="shared" si="18"/>
        <v>-39.942053565244301</v>
      </c>
      <c r="AI65" s="38"/>
      <c r="AJ65" s="56">
        <f t="shared" si="15"/>
        <v>0</v>
      </c>
      <c r="AK65" s="58">
        <f t="shared" si="16"/>
        <v>0</v>
      </c>
      <c r="AL65" s="38"/>
    </row>
    <row r="66" spans="1:38" ht="18.75" x14ac:dyDescent="0.3">
      <c r="A66" s="16"/>
      <c r="B66" s="40"/>
      <c r="C66" s="17" t="s">
        <v>105</v>
      </c>
      <c r="D66" s="76"/>
      <c r="E66" s="40"/>
      <c r="F66" s="76"/>
      <c r="G66" s="40"/>
      <c r="H66" s="40"/>
      <c r="I66" s="38"/>
      <c r="J66" s="38"/>
      <c r="K66" s="38"/>
      <c r="L66" s="38"/>
      <c r="M66" s="38"/>
      <c r="N66" s="44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43"/>
      <c r="AA66" s="56">
        <v>16.5</v>
      </c>
      <c r="AB66" s="51">
        <f t="shared" si="10"/>
        <v>16500</v>
      </c>
      <c r="AC66" s="44">
        <f t="shared" si="11"/>
        <v>2.5405605021562994</v>
      </c>
      <c r="AD66" s="44">
        <f t="shared" si="12"/>
        <v>2.5405605021562994</v>
      </c>
      <c r="AE66" s="44">
        <f t="shared" si="13"/>
        <v>64.612145473189315</v>
      </c>
      <c r="AF66" s="44">
        <f t="shared" si="14"/>
        <v>64.612145473189315</v>
      </c>
      <c r="AG66" s="44">
        <f t="shared" si="17"/>
        <v>-33.285044637703592</v>
      </c>
      <c r="AH66" s="57">
        <f t="shared" si="18"/>
        <v>-41.899997367462163</v>
      </c>
      <c r="AI66" s="38"/>
      <c r="AJ66" s="56">
        <f t="shared" si="15"/>
        <v>0</v>
      </c>
      <c r="AK66" s="58">
        <f t="shared" si="16"/>
        <v>0</v>
      </c>
      <c r="AL66" s="38"/>
    </row>
    <row r="67" spans="1:38" ht="18.75" x14ac:dyDescent="0.3">
      <c r="A67" s="16"/>
      <c r="B67" s="1"/>
      <c r="C67" s="17" t="s">
        <v>106</v>
      </c>
      <c r="D67" s="76"/>
      <c r="E67" s="40"/>
      <c r="F67" s="76"/>
      <c r="G67" s="40"/>
      <c r="H67" s="40"/>
      <c r="I67" s="38"/>
      <c r="J67" s="38"/>
      <c r="K67" s="38"/>
      <c r="L67" s="38"/>
      <c r="M67" s="38"/>
      <c r="N67" s="44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43"/>
      <c r="AA67" s="56">
        <v>17</v>
      </c>
      <c r="AB67" s="51">
        <f t="shared" si="10"/>
        <v>17000</v>
      </c>
      <c r="AC67" s="44">
        <f t="shared" si="11"/>
        <v>2.2269605862371229</v>
      </c>
      <c r="AD67" s="44">
        <f t="shared" si="12"/>
        <v>2.2269605862371229</v>
      </c>
      <c r="AE67" s="44">
        <f t="shared" si="13"/>
        <v>66.57008927540717</v>
      </c>
      <c r="AF67" s="44">
        <f t="shared" si="14"/>
        <v>66.57008927540717</v>
      </c>
      <c r="AG67" s="44">
        <f t="shared" si="17"/>
        <v>-35.242988439921447</v>
      </c>
      <c r="AH67" s="57">
        <f t="shared" si="18"/>
        <v>-43.857941169680018</v>
      </c>
      <c r="AI67" s="38"/>
      <c r="AJ67" s="56">
        <f t="shared" si="15"/>
        <v>0</v>
      </c>
      <c r="AK67" s="58">
        <f t="shared" si="16"/>
        <v>0</v>
      </c>
      <c r="AL67" s="38"/>
    </row>
    <row r="68" spans="1:38" ht="18.75" x14ac:dyDescent="0.3">
      <c r="A68" s="16"/>
      <c r="B68" s="1"/>
      <c r="C68" s="17" t="s">
        <v>107</v>
      </c>
      <c r="D68" s="76"/>
      <c r="E68" s="40"/>
      <c r="F68" s="76"/>
      <c r="G68" s="40"/>
      <c r="H68" s="40"/>
      <c r="I68" s="38"/>
      <c r="J68" s="38"/>
      <c r="K68" s="38"/>
      <c r="L68" s="38"/>
      <c r="M68" s="38"/>
      <c r="N68" s="44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  <c r="Z68" s="43"/>
      <c r="AA68" s="56">
        <v>17.5</v>
      </c>
      <c r="AB68" s="51">
        <f t="shared" si="10"/>
        <v>17500</v>
      </c>
      <c r="AC68" s="44">
        <f t="shared" si="11"/>
        <v>1.950381953236519</v>
      </c>
      <c r="AD68" s="44">
        <f t="shared" si="12"/>
        <v>1.950381953236519</v>
      </c>
      <c r="AE68" s="44">
        <f t="shared" si="13"/>
        <v>68.528033077625025</v>
      </c>
      <c r="AF68" s="44">
        <f t="shared" si="14"/>
        <v>68.528033077625025</v>
      </c>
      <c r="AG68" s="44">
        <f t="shared" si="17"/>
        <v>-37.200932242139302</v>
      </c>
      <c r="AH68" s="57">
        <f t="shared" si="18"/>
        <v>-45.815884971897873</v>
      </c>
      <c r="AI68" s="38"/>
      <c r="AJ68" s="56">
        <f t="shared" si="15"/>
        <v>0</v>
      </c>
      <c r="AK68" s="58">
        <f t="shared" si="16"/>
        <v>0</v>
      </c>
      <c r="AL68" s="38"/>
    </row>
    <row r="69" spans="1:38" ht="18.75" x14ac:dyDescent="0.3">
      <c r="A69" s="16"/>
      <c r="B69" s="2"/>
      <c r="C69" s="40"/>
      <c r="D69" s="76"/>
      <c r="E69" s="40"/>
      <c r="F69" s="76"/>
      <c r="G69" s="40"/>
      <c r="H69" s="40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  <c r="Z69" s="43"/>
      <c r="AA69" s="56">
        <v>18</v>
      </c>
      <c r="AB69" s="51">
        <f t="shared" si="10"/>
        <v>18000</v>
      </c>
      <c r="AC69" s="44">
        <f t="shared" si="11"/>
        <v>1.7067587496763417</v>
      </c>
      <c r="AD69" s="44">
        <f t="shared" si="12"/>
        <v>1.7067587496763417</v>
      </c>
      <c r="AE69" s="44">
        <f t="shared" si="13"/>
        <v>70.48597687984288</v>
      </c>
      <c r="AF69" s="44">
        <f t="shared" si="14"/>
        <v>70.48597687984288</v>
      </c>
      <c r="AG69" s="44">
        <f t="shared" si="17"/>
        <v>-39.158876044357157</v>
      </c>
      <c r="AH69" s="57">
        <f t="shared" si="18"/>
        <v>-47.773828774115728</v>
      </c>
      <c r="AI69" s="38"/>
      <c r="AJ69" s="56">
        <f t="shared" si="15"/>
        <v>0</v>
      </c>
      <c r="AK69" s="58">
        <f t="shared" si="16"/>
        <v>0</v>
      </c>
      <c r="AL69" s="38"/>
    </row>
    <row r="70" spans="1:38" ht="21" x14ac:dyDescent="0.35">
      <c r="A70" s="5">
        <v>5</v>
      </c>
      <c r="B70" s="6" t="s">
        <v>108</v>
      </c>
      <c r="C70" s="38"/>
      <c r="D70" s="80"/>
      <c r="E70" s="38"/>
      <c r="F70" s="80"/>
      <c r="G70" s="38"/>
      <c r="H70" s="38"/>
      <c r="I70" s="38"/>
      <c r="J70" s="38"/>
      <c r="K70" s="38"/>
      <c r="L70" s="38"/>
      <c r="M70" s="38"/>
      <c r="N70" s="44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43"/>
      <c r="AA70" s="56">
        <v>18.5</v>
      </c>
      <c r="AB70" s="51">
        <f t="shared" si="10"/>
        <v>18500</v>
      </c>
      <c r="AC70" s="44">
        <f t="shared" si="11"/>
        <v>1.4924142012079926</v>
      </c>
      <c r="AD70" s="44">
        <f t="shared" si="12"/>
        <v>1.4924142012079926</v>
      </c>
      <c r="AE70" s="44">
        <f t="shared" si="13"/>
        <v>72.44392068206075</v>
      </c>
      <c r="AF70" s="44">
        <f t="shared" si="14"/>
        <v>72.44392068206075</v>
      </c>
      <c r="AG70" s="44">
        <f t="shared" si="17"/>
        <v>-41.116819846575027</v>
      </c>
      <c r="AH70" s="57">
        <f t="shared" si="18"/>
        <v>-49.731772576333597</v>
      </c>
      <c r="AI70" s="38"/>
      <c r="AJ70" s="56">
        <f t="shared" si="15"/>
        <v>0</v>
      </c>
      <c r="AK70" s="58">
        <f t="shared" si="16"/>
        <v>0</v>
      </c>
      <c r="AL70" s="38"/>
    </row>
    <row r="71" spans="1:38" x14ac:dyDescent="0.25">
      <c r="A71" s="41"/>
      <c r="B71" s="1" t="s">
        <v>4</v>
      </c>
      <c r="C71" s="1" t="s">
        <v>5</v>
      </c>
      <c r="D71" s="1" t="s">
        <v>109</v>
      </c>
      <c r="E71" s="40"/>
      <c r="F71" s="1" t="s">
        <v>36</v>
      </c>
      <c r="G71" s="40"/>
      <c r="H71" s="40"/>
      <c r="I71" s="38"/>
      <c r="J71" s="38"/>
      <c r="K71" s="38"/>
      <c r="L71" s="38"/>
      <c r="M71" s="38"/>
      <c r="N71" s="70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  <c r="Z71" s="43"/>
      <c r="AA71" s="56">
        <v>19</v>
      </c>
      <c r="AB71" s="51">
        <f t="shared" si="10"/>
        <v>19000</v>
      </c>
      <c r="AC71" s="44">
        <f t="shared" si="11"/>
        <v>1.304035027973498</v>
      </c>
      <c r="AD71" s="44">
        <f t="shared" si="12"/>
        <v>1.304035027973498</v>
      </c>
      <c r="AE71" s="44">
        <f t="shared" si="13"/>
        <v>74.401864484278605</v>
      </c>
      <c r="AF71" s="44">
        <f t="shared" si="14"/>
        <v>74.401864484278605</v>
      </c>
      <c r="AG71" s="44">
        <f t="shared" si="17"/>
        <v>-43.074763648792882</v>
      </c>
      <c r="AH71" s="57">
        <f t="shared" si="18"/>
        <v>-51.689716378551452</v>
      </c>
      <c r="AI71" s="38"/>
      <c r="AJ71" s="56">
        <f t="shared" si="15"/>
        <v>0</v>
      </c>
      <c r="AK71" s="58">
        <f t="shared" si="16"/>
        <v>0</v>
      </c>
      <c r="AL71" s="38"/>
    </row>
    <row r="72" spans="1:38" x14ac:dyDescent="0.25">
      <c r="A72" s="41"/>
      <c r="B72" s="40" t="s">
        <v>110</v>
      </c>
      <c r="C72" s="40" t="s">
        <v>99</v>
      </c>
      <c r="D72" s="81">
        <v>10</v>
      </c>
      <c r="E72" s="40"/>
      <c r="F72" s="81">
        <v>9</v>
      </c>
      <c r="G72" s="40"/>
      <c r="H72" s="40"/>
      <c r="I72" s="38"/>
      <c r="J72" s="38"/>
      <c r="K72" s="38"/>
      <c r="L72" s="38"/>
      <c r="M72" s="38"/>
      <c r="N72" s="70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  <c r="Z72" s="43"/>
      <c r="AA72" s="56">
        <v>19.5</v>
      </c>
      <c r="AB72" s="51">
        <f t="shared" si="10"/>
        <v>19500</v>
      </c>
      <c r="AC72" s="44">
        <f t="shared" si="11"/>
        <v>1.1386448320677292</v>
      </c>
      <c r="AD72" s="44">
        <f t="shared" si="12"/>
        <v>1.1386448320677292</v>
      </c>
      <c r="AE72" s="44">
        <f t="shared" si="13"/>
        <v>76.35980828649646</v>
      </c>
      <c r="AF72" s="44">
        <f t="shared" si="14"/>
        <v>76.35980828649646</v>
      </c>
      <c r="AG72" s="44">
        <f t="shared" si="17"/>
        <v>-45.032707451010737</v>
      </c>
      <c r="AH72" s="57">
        <f t="shared" si="18"/>
        <v>-53.647660180769307</v>
      </c>
      <c r="AI72" s="38"/>
      <c r="AJ72" s="56">
        <f t="shared" si="15"/>
        <v>0</v>
      </c>
      <c r="AK72" s="58">
        <f t="shared" si="16"/>
        <v>0</v>
      </c>
      <c r="AL72" s="38"/>
    </row>
    <row r="73" spans="1:38" ht="15.75" thickBot="1" x14ac:dyDescent="0.3">
      <c r="A73" s="41"/>
      <c r="B73" s="40" t="s">
        <v>111</v>
      </c>
      <c r="C73" s="40" t="s">
        <v>44</v>
      </c>
      <c r="D73" s="42">
        <v>2.6</v>
      </c>
      <c r="E73" s="40"/>
      <c r="F73" s="40">
        <f>D73</f>
        <v>2.6</v>
      </c>
      <c r="G73" s="40"/>
      <c r="H73" s="40"/>
      <c r="I73" s="38"/>
      <c r="J73" s="38"/>
      <c r="K73" s="38"/>
      <c r="L73" s="38"/>
      <c r="M73" s="38"/>
      <c r="N73" s="70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43"/>
      <c r="AA73" s="82">
        <v>20</v>
      </c>
      <c r="AB73" s="83">
        <f t="shared" si="10"/>
        <v>20000</v>
      </c>
      <c r="AC73" s="44">
        <f t="shared" si="11"/>
        <v>0.99357733353699529</v>
      </c>
      <c r="AD73" s="44">
        <f t="shared" si="12"/>
        <v>0.99357733353699529</v>
      </c>
      <c r="AE73" s="84">
        <f t="shared" si="13"/>
        <v>78.317752088714315</v>
      </c>
      <c r="AF73" s="84">
        <f t="shared" si="14"/>
        <v>78.317752088714315</v>
      </c>
      <c r="AG73" s="84">
        <f t="shared" si="17"/>
        <v>-46.990651253228592</v>
      </c>
      <c r="AH73" s="85">
        <f t="shared" si="18"/>
        <v>-55.605603982987162</v>
      </c>
      <c r="AI73" s="38"/>
      <c r="AJ73" s="56">
        <f t="shared" si="15"/>
        <v>0</v>
      </c>
      <c r="AK73" s="58">
        <f t="shared" si="16"/>
        <v>0</v>
      </c>
      <c r="AL73" s="38"/>
    </row>
    <row r="74" spans="1:38" ht="15.75" thickBot="1" x14ac:dyDescent="0.3">
      <c r="A74" s="41"/>
      <c r="B74" s="40" t="s">
        <v>112</v>
      </c>
      <c r="C74" s="40" t="s">
        <v>28</v>
      </c>
      <c r="D74" s="42">
        <v>150</v>
      </c>
      <c r="E74" s="40"/>
      <c r="F74" s="40">
        <f t="shared" ref="F74:F75" si="19">D74</f>
        <v>150</v>
      </c>
      <c r="G74" s="40"/>
      <c r="H74" s="40"/>
      <c r="I74" s="38"/>
      <c r="J74" s="38"/>
      <c r="K74" s="38"/>
      <c r="L74" s="38"/>
      <c r="M74" s="38"/>
      <c r="N74" s="70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87">
        <f>IF(MIN(AG$5:AG$73)&gt;0,NA(),MATCH(0,AG$5:AG$73,-1))</f>
        <v>33</v>
      </c>
      <c r="AH74" s="88">
        <f>IF(MIN(AH$5:AH$73)&gt;0,NA(),MATCH(0,AH$5:AH$73,-1))</f>
        <v>24</v>
      </c>
      <c r="AI74" s="38"/>
      <c r="AJ74" s="87">
        <f>SUM(AJ5:AJ73)</f>
        <v>0</v>
      </c>
      <c r="AK74" s="88">
        <f>SUM(AK5:AK73)</f>
        <v>0</v>
      </c>
      <c r="AL74" s="38"/>
    </row>
    <row r="75" spans="1:38" x14ac:dyDescent="0.25">
      <c r="A75" s="41"/>
      <c r="B75" s="40" t="s">
        <v>113</v>
      </c>
      <c r="C75" s="19" t="s">
        <v>114</v>
      </c>
      <c r="D75" s="86">
        <v>25</v>
      </c>
      <c r="E75" s="40"/>
      <c r="F75" s="40">
        <f t="shared" si="19"/>
        <v>25</v>
      </c>
      <c r="G75" s="40"/>
      <c r="H75" s="40"/>
      <c r="I75" s="38"/>
      <c r="J75" s="38"/>
      <c r="K75" s="38"/>
      <c r="L75" s="38"/>
      <c r="M75" s="38"/>
      <c r="N75" s="44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  <c r="Z75" s="38"/>
      <c r="AA75" s="38"/>
      <c r="AB75" s="38"/>
      <c r="AC75" s="38"/>
      <c r="AD75" s="38"/>
      <c r="AE75" s="38"/>
      <c r="AF75" s="38"/>
      <c r="AG75" s="38"/>
      <c r="AH75" s="38"/>
      <c r="AI75" s="38"/>
      <c r="AJ75" s="38"/>
      <c r="AK75" s="38"/>
      <c r="AL75" s="38"/>
    </row>
    <row r="76" spans="1:38" ht="15.75" thickBot="1" x14ac:dyDescent="0.3">
      <c r="A76" s="41"/>
      <c r="B76" s="40"/>
      <c r="C76" s="40"/>
      <c r="D76" s="40"/>
      <c r="E76" s="40"/>
      <c r="F76" s="40"/>
      <c r="G76" s="40"/>
      <c r="H76" s="40"/>
      <c r="I76" s="38"/>
      <c r="J76" s="38"/>
      <c r="K76" s="38"/>
      <c r="L76" s="38"/>
      <c r="M76" s="38"/>
      <c r="N76" s="44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</row>
    <row r="77" spans="1:38" x14ac:dyDescent="0.25">
      <c r="A77" s="41"/>
      <c r="B77" s="1" t="s">
        <v>115</v>
      </c>
      <c r="C77" s="1" t="s">
        <v>28</v>
      </c>
      <c r="D77" s="89">
        <f>D90/(D4*8.34)</f>
        <v>3271.0208097424361</v>
      </c>
      <c r="E77" s="1"/>
      <c r="F77" s="89">
        <f>F90/(F4*8.34)</f>
        <v>2993.1672959004154</v>
      </c>
      <c r="G77" s="20" t="str">
        <f>IF(F77&lt;&gt;F12,"MLSS value in Section (1) needs to match this value for wasting rate to be accurate","")</f>
        <v>MLSS value in Section (1) needs to match this value for wasting rate to be accurate</v>
      </c>
      <c r="H77" s="40"/>
      <c r="I77" s="38"/>
      <c r="J77" s="38"/>
      <c r="K77" s="38"/>
      <c r="L77" s="38"/>
      <c r="M77" s="38"/>
      <c r="N77" s="44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  <c r="Z77" s="38"/>
      <c r="AA77" s="38"/>
      <c r="AB77" s="38"/>
      <c r="AC77" s="38"/>
      <c r="AD77" s="38"/>
      <c r="AE77" s="38"/>
      <c r="AF77" s="38"/>
      <c r="AG77" s="38"/>
      <c r="AH77" s="38"/>
      <c r="AI77" s="38"/>
      <c r="AJ77" s="38"/>
      <c r="AK77" s="38"/>
      <c r="AL77" s="38"/>
    </row>
    <row r="78" spans="1:38" x14ac:dyDescent="0.25">
      <c r="A78" s="41"/>
      <c r="B78" s="1" t="s">
        <v>116</v>
      </c>
      <c r="C78" s="1" t="s">
        <v>117</v>
      </c>
      <c r="D78" s="91">
        <f ca="1">(D87*10^6)/(D72*D23*0.75*8.34)</f>
        <v>31987.57419078999</v>
      </c>
      <c r="E78" s="1"/>
      <c r="F78" s="91">
        <f ca="1">(F87*10^6)/(F72*F23*0.75*8.34)</f>
        <v>45180.114530975472</v>
      </c>
      <c r="G78" s="40"/>
      <c r="H78" s="40"/>
      <c r="I78" s="38"/>
      <c r="J78" s="38"/>
      <c r="K78" s="38"/>
      <c r="L78" s="38"/>
      <c r="M78" s="38"/>
      <c r="N78" s="44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</row>
    <row r="79" spans="1:38" ht="15.75" thickBot="1" x14ac:dyDescent="0.3">
      <c r="A79" s="41"/>
      <c r="B79" s="1" t="s">
        <v>118</v>
      </c>
      <c r="C79" s="1" t="s">
        <v>119</v>
      </c>
      <c r="D79" s="92" t="s">
        <v>120</v>
      </c>
      <c r="E79" s="1"/>
      <c r="F79" s="93">
        <f ca="1">ABS(D78-F78)/D78</f>
        <v>0.41242703374437001</v>
      </c>
      <c r="G79" s="2" t="s">
        <v>121</v>
      </c>
      <c r="H79" s="40"/>
      <c r="I79" s="38"/>
      <c r="J79" s="38"/>
      <c r="K79" s="38"/>
      <c r="L79" s="38"/>
      <c r="M79" s="38"/>
      <c r="N79" s="44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</row>
    <row r="80" spans="1:38" x14ac:dyDescent="0.25">
      <c r="A80" s="41"/>
      <c r="B80" s="40"/>
      <c r="C80" s="40"/>
      <c r="D80" s="40"/>
      <c r="E80" s="40"/>
      <c r="F80" s="40"/>
      <c r="G80" s="40"/>
      <c r="H80" s="40"/>
      <c r="I80" s="38"/>
      <c r="J80" s="38"/>
      <c r="K80" s="38"/>
      <c r="L80" s="38"/>
      <c r="M80" s="38"/>
      <c r="N80" s="44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</row>
    <row r="81" spans="1:38" x14ac:dyDescent="0.25">
      <c r="A81" s="41"/>
      <c r="B81" s="79" t="s">
        <v>122</v>
      </c>
      <c r="C81" s="40" t="s">
        <v>123</v>
      </c>
      <c r="D81" s="71">
        <f>D74*D73*8.34</f>
        <v>3252.6</v>
      </c>
      <c r="E81" s="40"/>
      <c r="F81" s="71">
        <f>F74*F73*8.34</f>
        <v>3252.6</v>
      </c>
      <c r="G81" s="40"/>
      <c r="H81" s="40"/>
      <c r="I81" s="38"/>
      <c r="J81" s="38"/>
      <c r="K81" s="38"/>
      <c r="L81" s="38"/>
      <c r="M81" s="38"/>
      <c r="N81" s="44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</row>
    <row r="82" spans="1:38" x14ac:dyDescent="0.25">
      <c r="A82" s="41"/>
      <c r="B82" s="79" t="s">
        <v>124</v>
      </c>
      <c r="C82" s="40" t="s">
        <v>123</v>
      </c>
      <c r="D82" s="71">
        <f>2*D81</f>
        <v>6505.2</v>
      </c>
      <c r="E82" s="40"/>
      <c r="F82" s="71">
        <f>2*F81</f>
        <v>6505.2</v>
      </c>
      <c r="G82" s="40"/>
      <c r="H82" s="40"/>
      <c r="I82" s="38"/>
      <c r="J82" s="38"/>
      <c r="K82" s="38"/>
      <c r="L82" s="38"/>
      <c r="M82" s="38"/>
      <c r="N82" s="44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</row>
    <row r="83" spans="1:38" x14ac:dyDescent="0.25">
      <c r="A83" s="41"/>
      <c r="B83" s="79" t="s">
        <v>125</v>
      </c>
      <c r="C83" s="40" t="s">
        <v>123</v>
      </c>
      <c r="D83" s="71">
        <f>(1-f_s_up-f_s_us)*D82</f>
        <v>5074.0559999999996</v>
      </c>
      <c r="E83" s="40"/>
      <c r="F83" s="71">
        <f>(1-f_s_up-f_s_us)*F82</f>
        <v>5074.0559999999996</v>
      </c>
      <c r="G83" s="40"/>
      <c r="H83" s="40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</row>
    <row r="84" spans="1:38" x14ac:dyDescent="0.25">
      <c r="A84" s="41"/>
      <c r="B84" s="21" t="s">
        <v>126</v>
      </c>
      <c r="C84" s="40" t="s">
        <v>123</v>
      </c>
      <c r="D84" s="71">
        <f>D82*(f_s_up/f_cv)</f>
        <v>659.31081081081072</v>
      </c>
      <c r="E84" s="40"/>
      <c r="F84" s="71">
        <f>F82*(f_s_up/f_cv)</f>
        <v>659.31081081081072</v>
      </c>
      <c r="G84" s="40"/>
      <c r="H84" s="40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</row>
    <row r="85" spans="1:38" x14ac:dyDescent="0.25">
      <c r="A85" s="41"/>
      <c r="B85" s="79" t="s">
        <v>127</v>
      </c>
      <c r="C85" s="40" t="s">
        <v>123</v>
      </c>
      <c r="D85" s="71">
        <f>47.8*D73*8.34</f>
        <v>1036.4952000000001</v>
      </c>
      <c r="E85" s="40"/>
      <c r="F85" s="71">
        <f>47.8*F73*8.34</f>
        <v>1036.4952000000001</v>
      </c>
      <c r="G85" s="40"/>
      <c r="H85" s="40"/>
      <c r="I85" s="38"/>
      <c r="J85" s="38"/>
      <c r="K85" s="38"/>
      <c r="L85" s="38"/>
      <c r="M85" s="39"/>
      <c r="N85" s="90"/>
      <c r="O85" s="90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</row>
    <row r="86" spans="1:38" x14ac:dyDescent="0.25">
      <c r="A86" s="41"/>
      <c r="B86" s="40"/>
      <c r="C86" s="40"/>
      <c r="D86" s="40"/>
      <c r="E86" s="40"/>
      <c r="F86" s="40"/>
      <c r="G86" s="40"/>
      <c r="H86" s="40"/>
      <c r="I86" s="38"/>
      <c r="J86" s="38"/>
      <c r="K86" s="38"/>
      <c r="L86" s="38"/>
      <c r="M86" s="38"/>
      <c r="N86" s="44"/>
      <c r="O86" s="70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</row>
    <row r="87" spans="1:38" x14ac:dyDescent="0.25">
      <c r="A87" s="41"/>
      <c r="B87" s="22" t="s">
        <v>128</v>
      </c>
      <c r="C87" s="40" t="s">
        <v>129</v>
      </c>
      <c r="D87" s="23">
        <f>(D83*((Y_Hv*D72)/(1+(b_H_20*theta_b_H^(D75-20))*D72))*(1+f_H*(b_H_20*theta_b_H^(D75-20))*D72)+D84*D72)</f>
        <v>16006.582125071312</v>
      </c>
      <c r="E87" s="40"/>
      <c r="F87" s="23">
        <f>(F83*((Y_Hv*F72)/(1+(b_H_20*theta_b_H^(F75-20))*F72))*(1+f_H*(b_H_20*theta_b_H^(F75-20))*F72)+F84*F72)</f>
        <v>14751.804375623333</v>
      </c>
      <c r="G87" s="40"/>
      <c r="H87" s="24" t="s">
        <v>130</v>
      </c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</row>
    <row r="88" spans="1:38" x14ac:dyDescent="0.25">
      <c r="A88" s="41"/>
      <c r="B88" s="22" t="s">
        <v>131</v>
      </c>
      <c r="C88" s="40" t="s">
        <v>40</v>
      </c>
      <c r="D88" s="25">
        <f>1/(1+f_H*(b_H_20*theta_b_H^(D75-20))*D72+(f_s_up/(f_cv*Y_Hv*(1-f_s_up-f_s_us)))*(1+(b_H_20*theta_b_H^(D75-20))*D72))</f>
        <v>0.37850238569759714</v>
      </c>
      <c r="E88" s="40"/>
      <c r="F88" s="25">
        <f>1/(1+f_H*(b_H_20*theta_b_H^(F75-20))*F72+(f_s_up/(f_cv*Y_Hv*(1-f_s_up-f_s_us)))*(1+(b_H_20*theta_b_H^(F75-20))*F72))</f>
        <v>0.39893608931204921</v>
      </c>
      <c r="G88" s="40"/>
      <c r="H88" s="26" t="s">
        <v>132</v>
      </c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</row>
    <row r="89" spans="1:38" x14ac:dyDescent="0.25">
      <c r="A89" s="41"/>
      <c r="B89" s="22" t="s">
        <v>133</v>
      </c>
      <c r="C89" s="40" t="s">
        <v>129</v>
      </c>
      <c r="D89" s="23">
        <f>(D85*D72+f_iOHO*D88*D87)</f>
        <v>11273.731428180601</v>
      </c>
      <c r="E89" s="40"/>
      <c r="F89" s="23">
        <f>(F85*F72+f_iOHO*F88*F87)</f>
        <v>10211.210872186131</v>
      </c>
      <c r="G89" s="40"/>
      <c r="H89" s="26" t="s">
        <v>134</v>
      </c>
      <c r="I89" s="38"/>
      <c r="J89" s="38"/>
      <c r="K89" s="38"/>
      <c r="L89" s="38"/>
      <c r="M89" s="38"/>
      <c r="N89" s="94"/>
      <c r="O89" s="94"/>
      <c r="P89" s="38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</row>
    <row r="90" spans="1:38" x14ac:dyDescent="0.25">
      <c r="A90" s="41"/>
      <c r="B90" s="22" t="s">
        <v>135</v>
      </c>
      <c r="C90" s="40" t="s">
        <v>129</v>
      </c>
      <c r="D90" s="23">
        <f>D87+D89</f>
        <v>27280.313553251915</v>
      </c>
      <c r="E90" s="40"/>
      <c r="F90" s="23">
        <f>F87+F89</f>
        <v>24963.015247809464</v>
      </c>
      <c r="G90" s="40"/>
      <c r="H90" s="40"/>
      <c r="I90" s="38"/>
      <c r="J90" s="38"/>
      <c r="K90" s="38"/>
      <c r="L90" s="38"/>
      <c r="M90" s="38"/>
      <c r="N90" s="94"/>
      <c r="O90" s="94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</row>
    <row r="91" spans="1:38" x14ac:dyDescent="0.25">
      <c r="A91" s="41"/>
      <c r="B91" s="40"/>
      <c r="C91" s="40"/>
      <c r="D91" s="40"/>
      <c r="E91" s="40"/>
      <c r="F91" s="40"/>
      <c r="G91" s="40"/>
      <c r="H91" s="40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38"/>
      <c r="AH91" s="38"/>
      <c r="AI91" s="38"/>
      <c r="AJ91" s="38"/>
      <c r="AK91" s="38"/>
      <c r="AL91" s="38"/>
    </row>
    <row r="92" spans="1:38" x14ac:dyDescent="0.25">
      <c r="A92" s="27" t="s">
        <v>136</v>
      </c>
      <c r="B92" s="28" t="s">
        <v>137</v>
      </c>
      <c r="C92" s="28" t="s">
        <v>138</v>
      </c>
      <c r="D92" s="28">
        <v>0.15</v>
      </c>
      <c r="E92" s="40"/>
      <c r="F92" s="40"/>
      <c r="G92" s="40"/>
      <c r="H92" s="40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</row>
    <row r="93" spans="1:38" x14ac:dyDescent="0.25">
      <c r="A93" s="27" t="s">
        <v>139</v>
      </c>
      <c r="B93" s="28" t="s">
        <v>140</v>
      </c>
      <c r="C93" s="28" t="s">
        <v>141</v>
      </c>
      <c r="D93" s="28">
        <v>7.0000000000000007E-2</v>
      </c>
      <c r="E93" s="40"/>
      <c r="F93" s="40"/>
      <c r="G93" s="40"/>
      <c r="H93" s="40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  <c r="Z93" s="38"/>
      <c r="AA93" s="38"/>
      <c r="AB93" s="38"/>
      <c r="AC93" s="38"/>
      <c r="AD93" s="38"/>
      <c r="AE93" s="38"/>
      <c r="AF93" s="38"/>
      <c r="AG93" s="38"/>
      <c r="AH93" s="38"/>
      <c r="AI93" s="38"/>
      <c r="AJ93" s="38"/>
      <c r="AK93" s="38"/>
      <c r="AL93" s="38"/>
    </row>
    <row r="94" spans="1:38" x14ac:dyDescent="0.25">
      <c r="A94" s="27" t="s">
        <v>142</v>
      </c>
      <c r="B94" s="28" t="s">
        <v>143</v>
      </c>
      <c r="C94" s="28" t="s">
        <v>144</v>
      </c>
      <c r="D94" s="28">
        <v>1.48</v>
      </c>
      <c r="E94" s="40"/>
      <c r="F94" s="40"/>
      <c r="G94" s="40"/>
      <c r="H94" s="40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  <c r="Z94" s="38"/>
      <c r="AA94" s="38"/>
      <c r="AB94" s="38"/>
      <c r="AC94" s="38"/>
      <c r="AD94" s="38"/>
      <c r="AE94" s="38"/>
      <c r="AF94" s="38"/>
      <c r="AG94" s="38"/>
      <c r="AH94" s="38"/>
      <c r="AI94" s="38"/>
      <c r="AJ94" s="38"/>
      <c r="AK94" s="38"/>
      <c r="AL94" s="38"/>
    </row>
    <row r="95" spans="1:38" x14ac:dyDescent="0.25">
      <c r="A95" s="27" t="s">
        <v>145</v>
      </c>
      <c r="B95" s="28" t="s">
        <v>146</v>
      </c>
      <c r="C95" s="28" t="s">
        <v>147</v>
      </c>
      <c r="D95" s="28">
        <v>0.45</v>
      </c>
      <c r="E95" s="40"/>
      <c r="F95" s="40"/>
      <c r="G95" s="40"/>
      <c r="H95" s="40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</row>
    <row r="96" spans="1:38" x14ac:dyDescent="0.25">
      <c r="A96" s="27" t="s">
        <v>148</v>
      </c>
      <c r="B96" s="28" t="s">
        <v>149</v>
      </c>
      <c r="C96" s="28"/>
      <c r="D96" s="28">
        <v>0.2</v>
      </c>
      <c r="E96" s="40"/>
      <c r="F96" s="40"/>
      <c r="G96" s="40"/>
      <c r="H96" s="40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  <c r="Z96" s="38"/>
      <c r="AA96" s="38"/>
      <c r="AB96" s="38"/>
      <c r="AC96" s="38"/>
      <c r="AD96" s="38"/>
      <c r="AE96" s="38"/>
      <c r="AF96" s="38"/>
      <c r="AG96" s="38"/>
      <c r="AH96" s="38"/>
      <c r="AI96" s="38"/>
      <c r="AJ96" s="38"/>
      <c r="AK96" s="38"/>
      <c r="AL96" s="38"/>
    </row>
    <row r="97" spans="1:38" x14ac:dyDescent="0.25">
      <c r="A97" s="27" t="s">
        <v>150</v>
      </c>
      <c r="B97" s="28" t="s">
        <v>151</v>
      </c>
      <c r="C97" s="28"/>
      <c r="D97" s="28">
        <v>0.1</v>
      </c>
      <c r="E97" s="40"/>
      <c r="F97" s="40"/>
      <c r="G97" s="40"/>
      <c r="H97" s="40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</row>
    <row r="98" spans="1:38" x14ac:dyDescent="0.25">
      <c r="A98" s="27" t="s">
        <v>152</v>
      </c>
      <c r="B98" s="28" t="s">
        <v>153</v>
      </c>
      <c r="C98" s="28" t="s">
        <v>154</v>
      </c>
      <c r="D98" s="28">
        <v>0.24</v>
      </c>
      <c r="E98" s="40"/>
      <c r="F98" s="40"/>
      <c r="G98" s="40"/>
      <c r="H98" s="40"/>
      <c r="I98" s="40"/>
      <c r="J98" s="40"/>
      <c r="K98" s="40"/>
      <c r="L98" s="40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</row>
    <row r="99" spans="1:38" x14ac:dyDescent="0.25">
      <c r="A99" s="27" t="s">
        <v>155</v>
      </c>
      <c r="B99" s="28" t="s">
        <v>156</v>
      </c>
      <c r="C99" s="40"/>
      <c r="D99" s="28">
        <v>1.0289999999999999</v>
      </c>
      <c r="E99" s="40"/>
      <c r="F99" s="40"/>
      <c r="G99" s="40"/>
      <c r="H99" s="40"/>
      <c r="I99" s="40"/>
      <c r="J99" s="40"/>
      <c r="K99" s="40"/>
      <c r="L99" s="40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  <c r="Z99" s="40"/>
      <c r="AA99" s="40"/>
      <c r="AB99" s="40"/>
      <c r="AC99" s="40"/>
      <c r="AD99" s="40"/>
      <c r="AE99" s="40"/>
      <c r="AF99" s="40"/>
      <c r="AG99" s="40"/>
      <c r="AH99" s="40"/>
      <c r="AI99" s="40"/>
      <c r="AJ99" s="40"/>
      <c r="AK99" s="40"/>
      <c r="AL99" s="40"/>
    </row>
    <row r="100" spans="1:38" x14ac:dyDescent="0.25">
      <c r="A100" s="27" t="s">
        <v>157</v>
      </c>
      <c r="B100" s="29" t="s">
        <v>158</v>
      </c>
      <c r="C100" s="40"/>
      <c r="D100" s="28">
        <v>0.15</v>
      </c>
      <c r="E100" s="40"/>
      <c r="F100" s="40"/>
      <c r="G100" s="40"/>
      <c r="H100" s="40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spans="1:38" x14ac:dyDescent="0.25"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spans="1:38" x14ac:dyDescent="0.25"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spans="1:38" x14ac:dyDescent="0.25">
      <c r="I103" s="40"/>
      <c r="J103" s="40"/>
      <c r="K103" s="40"/>
      <c r="L103" s="40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  <c r="Z103" s="40"/>
      <c r="AA103" s="40"/>
      <c r="AB103" s="40"/>
      <c r="AC103" s="40"/>
      <c r="AD103" s="40"/>
      <c r="AE103" s="40"/>
      <c r="AF103" s="40"/>
      <c r="AG103" s="40"/>
      <c r="AH103" s="40"/>
      <c r="AI103" s="40"/>
      <c r="AJ103" s="40"/>
      <c r="AK103" s="40"/>
      <c r="AL103" s="40"/>
    </row>
    <row r="104" spans="1:38" x14ac:dyDescent="0.25">
      <c r="A104" s="3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/>
    </row>
    <row r="105" spans="1:38" x14ac:dyDescent="0.25">
      <c r="A105" s="3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  <c r="Z105" s="40"/>
      <c r="AA105" s="40"/>
      <c r="AB105" s="40"/>
      <c r="AC105" s="40"/>
      <c r="AD105" s="40"/>
      <c r="AE105" s="40"/>
      <c r="AF105" s="40"/>
      <c r="AG105" s="40"/>
      <c r="AH105" s="40"/>
      <c r="AI105" s="40"/>
      <c r="AJ105" s="40"/>
      <c r="AK105" s="40"/>
      <c r="AL105" s="40"/>
    </row>
    <row r="106" spans="1:38" x14ac:dyDescent="0.25">
      <c r="A106" s="30"/>
      <c r="B106" s="40"/>
      <c r="C106" s="40"/>
      <c r="D106" s="40"/>
      <c r="E106" s="40"/>
      <c r="F106" s="40"/>
      <c r="G106" s="40"/>
      <c r="H106" s="40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spans="1:38" x14ac:dyDescent="0.25"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</row>
    <row r="108" spans="1:38" x14ac:dyDescent="0.25"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/>
    </row>
    <row r="109" spans="1:38" x14ac:dyDescent="0.25">
      <c r="A109" s="95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Z109" s="40"/>
      <c r="AA109" s="40"/>
      <c r="AB109" s="40"/>
      <c r="AC109" s="40"/>
      <c r="AD109" s="40"/>
      <c r="AE109" s="40"/>
      <c r="AF109" s="40"/>
      <c r="AG109" s="40"/>
      <c r="AH109" s="40"/>
      <c r="AI109" s="40"/>
      <c r="AJ109" s="40"/>
      <c r="AK109" s="40"/>
      <c r="AL109" s="40"/>
    </row>
    <row r="110" spans="1:38" x14ac:dyDescent="0.25">
      <c r="A110" s="96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/>
    </row>
    <row r="111" spans="1:38" x14ac:dyDescent="0.25">
      <c r="A111" s="41"/>
      <c r="B111" s="40"/>
      <c r="C111" s="40"/>
      <c r="D111" s="61"/>
      <c r="E111" s="40"/>
      <c r="F111" s="40"/>
      <c r="G111" s="40"/>
      <c r="H111" s="40"/>
    </row>
    <row r="112" spans="1:38" x14ac:dyDescent="0.25"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</row>
    <row r="113" spans="1:25" x14ac:dyDescent="0.25">
      <c r="M113" s="40"/>
      <c r="N113" s="40"/>
      <c r="O113" s="40"/>
      <c r="P113" s="40"/>
      <c r="Q113" s="40"/>
      <c r="R113" s="40"/>
      <c r="S113" s="40"/>
      <c r="T113" s="40"/>
      <c r="U113" s="40"/>
      <c r="V113" s="40"/>
      <c r="W113" s="40"/>
      <c r="X113" s="40"/>
      <c r="Y113" s="40"/>
    </row>
    <row r="114" spans="1:25" x14ac:dyDescent="0.25">
      <c r="M114" s="40"/>
      <c r="N114" s="40"/>
      <c r="O114" s="40"/>
      <c r="P114" s="40"/>
      <c r="Q114" s="40"/>
      <c r="R114" s="40"/>
      <c r="S114" s="40"/>
      <c r="T114" s="40"/>
      <c r="U114" s="40"/>
      <c r="V114" s="40"/>
      <c r="W114" s="40"/>
      <c r="X114" s="40"/>
      <c r="Y114" s="40"/>
    </row>
    <row r="117" spans="1:25" x14ac:dyDescent="0.25">
      <c r="A117" s="41"/>
      <c r="B117" s="40"/>
      <c r="C117" s="40"/>
      <c r="D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</row>
    <row r="118" spans="1:25" x14ac:dyDescent="0.25">
      <c r="A118" s="41"/>
      <c r="B118" s="40"/>
      <c r="C118" s="40"/>
      <c r="D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</row>
    <row r="119" spans="1:25" x14ac:dyDescent="0.25">
      <c r="A119" s="41"/>
      <c r="B119" s="40"/>
      <c r="C119" s="40"/>
      <c r="D119" s="97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/>
      <c r="Y119" s="40"/>
    </row>
    <row r="121" spans="1:25" x14ac:dyDescent="0.25">
      <c r="A121" s="41"/>
      <c r="B121" s="40"/>
      <c r="C121" s="31"/>
      <c r="D121" s="31"/>
    </row>
    <row r="122" spans="1:25" x14ac:dyDescent="0.25">
      <c r="A122" s="41"/>
      <c r="B122" s="40"/>
      <c r="C122" s="79"/>
      <c r="D122" s="22"/>
    </row>
    <row r="123" spans="1:25" x14ac:dyDescent="0.25">
      <c r="A123" s="41"/>
      <c r="B123" s="40"/>
      <c r="C123" s="40"/>
      <c r="D123" s="32"/>
    </row>
    <row r="159" spans="26:26" x14ac:dyDescent="0.25">
      <c r="Z159" s="31"/>
    </row>
    <row r="160" spans="26:26" x14ac:dyDescent="0.25">
      <c r="Z160" s="31"/>
    </row>
    <row r="161" spans="1:26" x14ac:dyDescent="0.25">
      <c r="I161" s="40"/>
      <c r="J161" s="40"/>
      <c r="K161" s="40"/>
      <c r="L161" s="40"/>
      <c r="Z161" s="31"/>
    </row>
    <row r="162" spans="1:26" x14ac:dyDescent="0.25">
      <c r="A162" s="41"/>
      <c r="B162" s="40"/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Z162" s="31"/>
    </row>
    <row r="163" spans="1:26" s="18" customFormat="1" x14ac:dyDescent="0.25">
      <c r="A163" s="41"/>
      <c r="B163" s="40"/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31"/>
    </row>
    <row r="164" spans="1:26" x14ac:dyDescent="0.25">
      <c r="A164" s="41"/>
      <c r="B164" s="40"/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Z164" s="31"/>
    </row>
    <row r="165" spans="1:26" x14ac:dyDescent="0.25">
      <c r="A165" s="41"/>
      <c r="B165" s="40"/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Z165" s="31"/>
    </row>
    <row r="166" spans="1:26" x14ac:dyDescent="0.25">
      <c r="A166" s="41"/>
      <c r="B166" s="40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Z166" s="31"/>
    </row>
    <row r="167" spans="1:26" x14ac:dyDescent="0.25">
      <c r="A167" s="41"/>
      <c r="B167" s="40"/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Z167" s="31"/>
    </row>
    <row r="168" spans="1:26" x14ac:dyDescent="0.25">
      <c r="A168" s="41"/>
      <c r="B168" s="40"/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 spans="1:26" x14ac:dyDescent="0.25">
      <c r="A169" s="41"/>
      <c r="B169" s="40"/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 spans="1:26" x14ac:dyDescent="0.25">
      <c r="A170" s="41"/>
      <c r="B170" s="40"/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40"/>
    </row>
    <row r="171" spans="1:26" x14ac:dyDescent="0.25">
      <c r="A171" s="41"/>
      <c r="B171" s="40"/>
      <c r="C171" s="40"/>
      <c r="D171" s="40"/>
      <c r="E171" s="40"/>
      <c r="F171" s="40"/>
      <c r="G171" s="40"/>
      <c r="H171" s="40"/>
      <c r="I171" s="33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40"/>
    </row>
    <row r="172" spans="1:26" x14ac:dyDescent="0.25">
      <c r="A172" s="41"/>
      <c r="B172" s="40"/>
      <c r="C172" s="40"/>
      <c r="D172" s="40"/>
      <c r="E172" s="40"/>
      <c r="F172" s="40"/>
      <c r="G172" s="40"/>
      <c r="H172" s="40"/>
      <c r="I172" s="33"/>
      <c r="J172" s="40"/>
      <c r="K172" s="40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79"/>
    </row>
    <row r="173" spans="1:26" x14ac:dyDescent="0.25">
      <c r="A173" s="41"/>
      <c r="B173" s="40"/>
      <c r="C173" s="40"/>
      <c r="D173" s="40"/>
      <c r="E173" s="40"/>
      <c r="F173" s="40"/>
      <c r="G173" s="40"/>
      <c r="H173" s="40"/>
      <c r="I173" s="33"/>
      <c r="J173" s="40"/>
      <c r="K173" s="40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 spans="1:26" x14ac:dyDescent="0.25">
      <c r="A174" s="41"/>
      <c r="B174" s="40"/>
      <c r="C174" s="40"/>
      <c r="D174" s="40"/>
      <c r="E174" s="40"/>
      <c r="F174" s="40"/>
      <c r="G174" s="40"/>
      <c r="H174" s="40"/>
      <c r="I174" s="33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40"/>
    </row>
    <row r="175" spans="1:26" x14ac:dyDescent="0.25">
      <c r="A175" s="41"/>
      <c r="B175" s="40"/>
      <c r="C175" s="40"/>
      <c r="D175" s="40"/>
      <c r="E175" s="40"/>
      <c r="F175" s="40"/>
      <c r="G175" s="40"/>
      <c r="H175" s="40"/>
      <c r="I175" s="33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40"/>
    </row>
    <row r="176" spans="1:26" x14ac:dyDescent="0.25">
      <c r="A176" s="41"/>
      <c r="B176" s="40"/>
      <c r="C176" s="40"/>
      <c r="D176" s="40"/>
      <c r="E176" s="40"/>
      <c r="F176" s="40"/>
      <c r="G176" s="40"/>
      <c r="H176" s="40"/>
      <c r="I176" s="33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40"/>
    </row>
    <row r="177" spans="1:25" x14ac:dyDescent="0.25">
      <c r="A177" s="41"/>
      <c r="B177" s="40"/>
      <c r="C177" s="40"/>
      <c r="D177" s="40"/>
      <c r="E177" s="40"/>
      <c r="F177" s="40"/>
      <c r="G177" s="31"/>
      <c r="H177" s="31"/>
      <c r="I177" s="33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</row>
    <row r="178" spans="1:25" x14ac:dyDescent="0.25">
      <c r="B178" s="40"/>
      <c r="C178" s="40"/>
      <c r="D178" s="40"/>
      <c r="E178" s="40"/>
      <c r="F178" s="98"/>
      <c r="G178" s="40"/>
      <c r="H178" s="40"/>
      <c r="I178" s="33"/>
      <c r="J178" s="31"/>
      <c r="K178" s="31"/>
      <c r="L178" s="31"/>
      <c r="M178" s="31"/>
      <c r="N178" s="31"/>
      <c r="O178" s="23"/>
      <c r="P178" s="31"/>
      <c r="Q178" s="31"/>
      <c r="R178" s="31"/>
      <c r="S178" s="31"/>
      <c r="T178" s="31"/>
      <c r="U178" s="31"/>
      <c r="V178" s="31"/>
      <c r="W178" s="31"/>
      <c r="X178" s="31"/>
      <c r="Y178" s="31"/>
    </row>
    <row r="179" spans="1:25" x14ac:dyDescent="0.25">
      <c r="B179" s="40"/>
      <c r="C179" s="40"/>
      <c r="D179" s="40"/>
      <c r="E179" s="40"/>
      <c r="F179" s="99"/>
      <c r="G179" s="40"/>
      <c r="H179" s="40"/>
      <c r="I179" s="33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</row>
    <row r="180" spans="1:25" x14ac:dyDescent="0.25">
      <c r="B180" s="79"/>
      <c r="C180" s="79"/>
      <c r="D180" s="79"/>
      <c r="E180" s="40"/>
      <c r="F180" s="40"/>
      <c r="G180" s="31"/>
      <c r="H180" s="31"/>
      <c r="I180" s="33"/>
      <c r="J180" s="31"/>
      <c r="K180" s="31"/>
      <c r="L180" s="35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</row>
    <row r="181" spans="1:25" x14ac:dyDescent="0.25">
      <c r="B181" s="40"/>
      <c r="C181" s="40"/>
      <c r="D181" s="40"/>
      <c r="E181" s="40"/>
      <c r="F181" s="40"/>
      <c r="G181" s="40"/>
      <c r="H181" s="31"/>
      <c r="I181" s="33"/>
      <c r="J181" s="31"/>
      <c r="K181" s="31"/>
      <c r="L181" s="31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</row>
    <row r="182" spans="1:25" x14ac:dyDescent="0.25">
      <c r="B182" s="40"/>
      <c r="C182" s="40"/>
      <c r="D182" s="40"/>
      <c r="E182" s="40"/>
      <c r="F182" s="40"/>
      <c r="G182" s="40"/>
      <c r="H182" s="31"/>
      <c r="I182" s="33"/>
      <c r="J182" s="31"/>
      <c r="K182" s="31"/>
      <c r="L182" s="31"/>
      <c r="M182" s="32"/>
      <c r="N182" s="34"/>
      <c r="O182" s="31"/>
      <c r="P182" s="34"/>
      <c r="Q182" s="34"/>
      <c r="R182" s="34"/>
      <c r="S182" s="34"/>
      <c r="T182" s="34"/>
      <c r="U182" s="34"/>
      <c r="V182" s="34"/>
      <c r="W182" s="34"/>
      <c r="X182" s="34"/>
      <c r="Y182" s="34"/>
    </row>
    <row r="183" spans="1:25" x14ac:dyDescent="0.25">
      <c r="B183" s="40"/>
      <c r="C183" s="40"/>
      <c r="D183" s="40"/>
      <c r="E183" s="40"/>
      <c r="F183" s="40"/>
      <c r="G183" s="40"/>
      <c r="H183" s="31"/>
      <c r="I183" s="33"/>
      <c r="J183" s="31"/>
      <c r="K183" s="31"/>
      <c r="L183" s="36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</row>
    <row r="184" spans="1:25" x14ac:dyDescent="0.25">
      <c r="B184" s="40"/>
      <c r="C184" s="40"/>
      <c r="D184" s="40"/>
      <c r="E184" s="40"/>
      <c r="F184" s="40"/>
      <c r="G184" s="40"/>
      <c r="H184" s="31"/>
      <c r="I184" s="37"/>
      <c r="J184" s="79"/>
      <c r="K184" s="79"/>
      <c r="L184" s="22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</row>
    <row r="185" spans="1:25" x14ac:dyDescent="0.25">
      <c r="B185" s="40"/>
      <c r="C185" s="40"/>
      <c r="D185" s="40"/>
      <c r="E185" s="40"/>
      <c r="F185" s="40"/>
      <c r="G185" s="40"/>
      <c r="H185" s="31"/>
      <c r="I185" s="100"/>
      <c r="J185" s="40"/>
      <c r="K185" s="40"/>
      <c r="L185" s="32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</row>
    <row r="186" spans="1:25" x14ac:dyDescent="0.25">
      <c r="B186" s="40"/>
      <c r="C186" s="40"/>
      <c r="D186" s="40"/>
      <c r="E186" s="40"/>
      <c r="F186" s="40"/>
      <c r="G186" s="40"/>
      <c r="H186" s="31"/>
      <c r="I186" s="40"/>
      <c r="J186" s="40"/>
      <c r="K186" s="40"/>
      <c r="L186" s="40"/>
    </row>
    <row r="187" spans="1:25" x14ac:dyDescent="0.25">
      <c r="B187" s="40"/>
      <c r="C187" s="40"/>
      <c r="D187" s="40"/>
      <c r="E187" s="40"/>
      <c r="F187" s="40"/>
      <c r="G187" s="40"/>
      <c r="H187" s="31"/>
      <c r="I187" s="40"/>
      <c r="J187" s="40"/>
      <c r="K187" s="40"/>
      <c r="L187" s="40"/>
    </row>
    <row r="188" spans="1:25" x14ac:dyDescent="0.25">
      <c r="B188" s="40"/>
      <c r="C188" s="40"/>
      <c r="D188" s="40"/>
      <c r="E188" s="40"/>
      <c r="F188" s="40"/>
      <c r="G188" s="40"/>
      <c r="H188" s="31"/>
      <c r="I188" s="40"/>
      <c r="J188" s="40"/>
      <c r="K188" s="40"/>
      <c r="L188" s="40"/>
    </row>
    <row r="189" spans="1:25" x14ac:dyDescent="0.25">
      <c r="B189" s="40"/>
      <c r="C189" s="40"/>
      <c r="D189" s="40"/>
      <c r="E189" s="40"/>
      <c r="F189" s="31"/>
      <c r="G189" s="31"/>
      <c r="H189" s="31"/>
      <c r="I189" s="40"/>
      <c r="J189" s="40"/>
      <c r="K189" s="40"/>
      <c r="L189" s="40"/>
    </row>
    <row r="190" spans="1:25" x14ac:dyDescent="0.25">
      <c r="B190" s="40"/>
      <c r="C190" s="40"/>
      <c r="D190" s="40"/>
      <c r="E190" s="40"/>
      <c r="F190" s="22"/>
      <c r="G190" s="22"/>
      <c r="H190" s="101"/>
      <c r="I190" s="40"/>
      <c r="J190" s="40"/>
      <c r="K190" s="40"/>
      <c r="L190" s="40"/>
    </row>
    <row r="191" spans="1:25" x14ac:dyDescent="0.25">
      <c r="B191" s="40"/>
      <c r="C191" s="40"/>
      <c r="D191" s="40"/>
      <c r="E191" s="40"/>
      <c r="F191" s="32"/>
      <c r="G191" s="32"/>
      <c r="H191" s="102"/>
    </row>
    <row r="192" spans="1:25" x14ac:dyDescent="0.25">
      <c r="I192" s="40"/>
      <c r="J192" s="40"/>
      <c r="K192" s="40"/>
      <c r="L192" s="40"/>
    </row>
    <row r="193" spans="2:8" x14ac:dyDescent="0.25">
      <c r="B193" s="40"/>
      <c r="C193" s="40"/>
      <c r="D193" s="40"/>
      <c r="E193" s="40"/>
      <c r="F193" s="28"/>
      <c r="G193" s="28"/>
      <c r="H193" s="40"/>
    </row>
    <row r="194" spans="2:8" x14ac:dyDescent="0.25">
      <c r="F194" s="28"/>
      <c r="G194" s="28"/>
    </row>
    <row r="195" spans="2:8" x14ac:dyDescent="0.25">
      <c r="F195" s="28"/>
      <c r="G195" s="28"/>
    </row>
    <row r="196" spans="2:8" x14ac:dyDescent="0.25">
      <c r="F196" s="28"/>
      <c r="G196" s="28"/>
    </row>
    <row r="197" spans="2:8" x14ac:dyDescent="0.25">
      <c r="F197" s="28"/>
      <c r="G197" s="28"/>
    </row>
    <row r="198" spans="2:8" x14ac:dyDescent="0.25">
      <c r="F198" s="28"/>
      <c r="G198" s="28"/>
    </row>
    <row r="200" spans="2:8" x14ac:dyDescent="0.25">
      <c r="F200" s="40"/>
      <c r="G200" s="31"/>
    </row>
  </sheetData>
  <conditionalFormatting sqref="D47 F47 D52:D55 F52:F55 D57 F57">
    <cfRule type="containsText" dxfId="9" priority="9" operator="containsText" text="No">
      <formula>NOT(ISERROR(SEARCH("No",D47)))</formula>
    </cfRule>
    <cfRule type="containsText" dxfId="8" priority="10" operator="containsText" text="Yes">
      <formula>NOT(ISERROR(SEARCH("Yes",D47)))</formula>
    </cfRule>
  </conditionalFormatting>
  <conditionalFormatting sqref="D58 F58">
    <cfRule type="containsText" dxfId="7" priority="5" operator="containsText" text="No">
      <formula>NOT(ISERROR(SEARCH("No",D58)))</formula>
    </cfRule>
  </conditionalFormatting>
  <conditionalFormatting sqref="D58:D61 F58:F61 F63:F69 D66:D69">
    <cfRule type="containsText" dxfId="6" priority="8" operator="containsText" text="Yes">
      <formula>NOT(ISERROR(SEARCH("Yes",D58)))</formula>
    </cfRule>
  </conditionalFormatting>
  <conditionalFormatting sqref="D62:D65">
    <cfRule type="containsText" dxfId="5" priority="1" operator="containsText" text="No">
      <formula>NOT(ISERROR(SEARCH("No",D62)))</formula>
    </cfRule>
    <cfRule type="containsText" dxfId="4" priority="2" operator="containsText" text="Yes">
      <formula>NOT(ISERROR(SEARCH("Yes",D62)))</formula>
    </cfRule>
  </conditionalFormatting>
  <conditionalFormatting sqref="D70 F70">
    <cfRule type="containsText" dxfId="3" priority="6" operator="containsText" text="Yes">
      <formula>NOT(ISERROR(SEARCH("Yes",D70)))</formula>
    </cfRule>
    <cfRule type="containsText" dxfId="2" priority="7" operator="containsText" text="No">
      <formula>NOT(ISERROR(SEARCH("No",D70)))</formula>
    </cfRule>
  </conditionalFormatting>
  <conditionalFormatting sqref="F62">
    <cfRule type="containsText" dxfId="1" priority="3" operator="containsText" text="No">
      <formula>NOT(ISERROR(SEARCH("No",F62)))</formula>
    </cfRule>
    <cfRule type="containsText" dxfId="0" priority="4" operator="containsText" text="Yes">
      <formula>NOT(ISERROR(SEARCH("Yes",F62)))</formula>
    </cfRule>
  </conditionalFormatting>
  <dataValidations count="1">
    <dataValidation type="list" allowBlank="1" showInputMessage="1" showErrorMessage="1" sqref="F15 D15" xr:uid="{87AF8331-FBA2-47C2-927E-661D5BC7B701}">
      <formula1>$N$19:$Y$19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14"/>
  <sheetViews>
    <sheetView tabSelected="1" workbookViewId="0">
      <selection activeCell="B19" sqref="B19"/>
    </sheetView>
  </sheetViews>
  <sheetFormatPr defaultRowHeight="15" x14ac:dyDescent="0.25"/>
  <cols>
    <col min="2" max="3" width="9.7109375" bestFit="1" customWidth="1"/>
  </cols>
  <sheetData>
    <row r="2" spans="1:3" x14ac:dyDescent="0.25">
      <c r="A2" s="1" t="s">
        <v>159</v>
      </c>
      <c r="B2">
        <v>2.1</v>
      </c>
    </row>
    <row r="3" spans="1:3" x14ac:dyDescent="0.25">
      <c r="A3" s="1" t="s">
        <v>160</v>
      </c>
      <c r="B3" s="3">
        <v>43804</v>
      </c>
    </row>
    <row r="5" spans="1:3" x14ac:dyDescent="0.25">
      <c r="A5" s="1" t="s">
        <v>161</v>
      </c>
      <c r="B5" t="s">
        <v>162</v>
      </c>
    </row>
    <row r="6" spans="1:3" x14ac:dyDescent="0.25">
      <c r="B6" s="2" t="s">
        <v>163</v>
      </c>
    </row>
    <row r="7" spans="1:3" x14ac:dyDescent="0.25">
      <c r="B7" s="2" t="s">
        <v>164</v>
      </c>
    </row>
    <row r="9" spans="1:3" x14ac:dyDescent="0.25">
      <c r="A9" s="1" t="s">
        <v>165</v>
      </c>
    </row>
    <row r="10" spans="1:3" x14ac:dyDescent="0.25">
      <c r="B10" t="s">
        <v>166</v>
      </c>
    </row>
    <row r="11" spans="1:3" x14ac:dyDescent="0.25">
      <c r="B11" t="s">
        <v>167</v>
      </c>
    </row>
    <row r="12" spans="1:3" x14ac:dyDescent="0.25">
      <c r="B12" t="s">
        <v>168</v>
      </c>
      <c r="C12" s="4" t="s">
        <v>169</v>
      </c>
    </row>
    <row r="13" spans="1:3" x14ac:dyDescent="0.25">
      <c r="B13" t="s">
        <v>170</v>
      </c>
      <c r="C13" t="s">
        <v>171</v>
      </c>
    </row>
    <row r="14" spans="1:3" x14ac:dyDescent="0.25">
      <c r="B14" t="s">
        <v>172</v>
      </c>
      <c r="C14" t="s">
        <v>173</v>
      </c>
    </row>
  </sheetData>
  <sheetProtection algorithmName="SHA-512" hashValue="aKeLH45zmuLvTB/BOWHHxyRxvIqtFsq73ix/aACVPJcfAiG1D4oiPO/L97obp+1Z3+iDJO32hFUl8+3KoQiA2w==" saltValue="8Md0+j3CBAJuavSeofyTow==" spinCount="100000" sheet="1" objects="1" scenarios="1"/>
  <hyperlinks>
    <hyperlink ref="C12" r:id="rId1" xr:uid="{00000000-0004-0000-01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9</vt:i4>
      </vt:variant>
    </vt:vector>
  </HeadingPairs>
  <TitlesOfParts>
    <vt:vector size="11" baseType="lpstr">
      <vt:lpstr>Input</vt:lpstr>
      <vt:lpstr>About</vt:lpstr>
      <vt:lpstr>b_H_20</vt:lpstr>
      <vt:lpstr>f_cv</vt:lpstr>
      <vt:lpstr>f_H</vt:lpstr>
      <vt:lpstr>f_iOHO</vt:lpstr>
      <vt:lpstr>f_n</vt:lpstr>
      <vt:lpstr>f_s_up</vt:lpstr>
      <vt:lpstr>f_s_us</vt:lpstr>
      <vt:lpstr>theta_b_H</vt:lpstr>
      <vt:lpstr>Y_Hv</vt:lpstr>
    </vt:vector>
  </TitlesOfParts>
  <Manager/>
  <Company>Freese and Nichols,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 Landes</dc:creator>
  <cp:keywords/>
  <dc:description/>
  <cp:lastModifiedBy>Nick Landes</cp:lastModifiedBy>
  <cp:revision/>
  <dcterms:created xsi:type="dcterms:W3CDTF">2014-04-14T17:51:49Z</dcterms:created>
  <dcterms:modified xsi:type="dcterms:W3CDTF">2024-05-04T14:13:33Z</dcterms:modified>
  <cp:category/>
  <cp:contentStatus/>
</cp:coreProperties>
</file>